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ie/Dropbox/Copeia/In Progress/"/>
    </mc:Choice>
  </mc:AlternateContent>
  <xr:revisionPtr revIDLastSave="0" documentId="13_ncr:1_{C5A53FFB-4543-2D46-973D-84C45FA728E1}" xr6:coauthVersionLast="45" xr6:coauthVersionMax="45" xr10:uidLastSave="{00000000-0000-0000-0000-000000000000}"/>
  <bookViews>
    <workbookView xWindow="120" yWindow="460" windowWidth="28520" windowHeight="12340" xr2:uid="{00000000-000D-0000-FFFF-FFFF00000000}"/>
  </bookViews>
  <sheets>
    <sheet name="LAG measurements" sheetId="1" r:id="rId1"/>
    <sheet name="Overview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" l="1"/>
  <c r="D47" i="2"/>
  <c r="D51" i="2"/>
  <c r="D39" i="2"/>
  <c r="D40" i="2"/>
  <c r="D41" i="2"/>
  <c r="D45" i="2"/>
  <c r="D46" i="2"/>
  <c r="D49" i="2"/>
  <c r="D42" i="2"/>
  <c r="D43" i="2"/>
  <c r="D44" i="2"/>
  <c r="D50" i="2"/>
  <c r="D55" i="2"/>
  <c r="D53" i="2"/>
  <c r="D54" i="2"/>
  <c r="D52" i="2"/>
  <c r="S31" i="1"/>
  <c r="T170" i="1"/>
  <c r="U172" i="1" s="1"/>
  <c r="Q172" i="1"/>
  <c r="R172" i="1"/>
  <c r="S172" i="1"/>
  <c r="Q173" i="1"/>
  <c r="Q174" i="1"/>
  <c r="Q175" i="1"/>
  <c r="Q176" i="1"/>
  <c r="Q177" i="1"/>
  <c r="Q178" i="1"/>
  <c r="W175" i="1" l="1"/>
  <c r="W178" i="1"/>
  <c r="W174" i="1"/>
  <c r="W179" i="1"/>
  <c r="W177" i="1"/>
  <c r="W173" i="1"/>
  <c r="T172" i="1"/>
  <c r="V173" i="1" s="1"/>
  <c r="W176" i="1"/>
  <c r="V175" i="1"/>
  <c r="W172" i="1"/>
  <c r="Y172" i="1"/>
  <c r="B174" i="1"/>
  <c r="B173" i="1"/>
  <c r="B172" i="1"/>
  <c r="B171" i="1"/>
  <c r="B170" i="1"/>
  <c r="B169" i="1"/>
  <c r="D168" i="1"/>
  <c r="C168" i="1"/>
  <c r="B168" i="1"/>
  <c r="E166" i="1"/>
  <c r="B161" i="1"/>
  <c r="B160" i="1"/>
  <c r="B159" i="1"/>
  <c r="B158" i="1"/>
  <c r="B157" i="1"/>
  <c r="D156" i="1"/>
  <c r="C156" i="1"/>
  <c r="B156" i="1"/>
  <c r="E154" i="1"/>
  <c r="Q165" i="1"/>
  <c r="Q164" i="1"/>
  <c r="S163" i="1"/>
  <c r="R163" i="1"/>
  <c r="Q163" i="1"/>
  <c r="T161" i="1"/>
  <c r="B125" i="1"/>
  <c r="B124" i="1"/>
  <c r="B123" i="1"/>
  <c r="B122" i="1"/>
  <c r="D121" i="1"/>
  <c r="F121" i="1" s="1"/>
  <c r="C121" i="1"/>
  <c r="B121" i="1"/>
  <c r="E119" i="1"/>
  <c r="B114" i="1"/>
  <c r="B113" i="1"/>
  <c r="B112" i="1"/>
  <c r="B111" i="1"/>
  <c r="B110" i="1"/>
  <c r="B109" i="1"/>
  <c r="B108" i="1"/>
  <c r="B107" i="1"/>
  <c r="D106" i="1"/>
  <c r="C106" i="1"/>
  <c r="B106" i="1"/>
  <c r="E104" i="1"/>
  <c r="Q92" i="1"/>
  <c r="Q91" i="1"/>
  <c r="Q90" i="1"/>
  <c r="Q89" i="1"/>
  <c r="Q142" i="1"/>
  <c r="S88" i="1"/>
  <c r="R88" i="1"/>
  <c r="Q88" i="1"/>
  <c r="Q141" i="1"/>
  <c r="Q140" i="1"/>
  <c r="T86" i="1"/>
  <c r="Q139" i="1"/>
  <c r="S138" i="1"/>
  <c r="R138" i="1"/>
  <c r="Q138" i="1"/>
  <c r="T136" i="1"/>
  <c r="Q81" i="1"/>
  <c r="Q80" i="1"/>
  <c r="Q79" i="1"/>
  <c r="Q78" i="1"/>
  <c r="B88" i="1"/>
  <c r="S77" i="1"/>
  <c r="R77" i="1"/>
  <c r="Q77" i="1"/>
  <c r="B87" i="1"/>
  <c r="B86" i="1"/>
  <c r="T75" i="1"/>
  <c r="B85" i="1"/>
  <c r="B84" i="1"/>
  <c r="D83" i="1"/>
  <c r="C83" i="1"/>
  <c r="B83" i="1"/>
  <c r="E81" i="1"/>
  <c r="Q46" i="1"/>
  <c r="Q45" i="1"/>
  <c r="Q44" i="1"/>
  <c r="S43" i="1"/>
  <c r="R43" i="1"/>
  <c r="Q43" i="1"/>
  <c r="Q131" i="1"/>
  <c r="T41" i="1"/>
  <c r="Q130" i="1"/>
  <c r="Q129" i="1"/>
  <c r="Q128" i="1"/>
  <c r="Q127" i="1"/>
  <c r="Q126" i="1"/>
  <c r="B50" i="1"/>
  <c r="Q125" i="1"/>
  <c r="B49" i="1"/>
  <c r="Q124" i="1"/>
  <c r="B48" i="1"/>
  <c r="S123" i="1"/>
  <c r="R123" i="1"/>
  <c r="T123" i="1" s="1"/>
  <c r="Q123" i="1"/>
  <c r="B47" i="1"/>
  <c r="B46" i="1"/>
  <c r="T121" i="1"/>
  <c r="D45" i="1"/>
  <c r="F45" i="1" s="1"/>
  <c r="C45" i="1"/>
  <c r="B45" i="1"/>
  <c r="E43" i="1"/>
  <c r="B76" i="1"/>
  <c r="B75" i="1"/>
  <c r="B38" i="1"/>
  <c r="B74" i="1"/>
  <c r="B37" i="1"/>
  <c r="B73" i="1"/>
  <c r="B36" i="1"/>
  <c r="B72" i="1"/>
  <c r="B35" i="1"/>
  <c r="B71" i="1"/>
  <c r="B34" i="1"/>
  <c r="D70" i="1"/>
  <c r="C70" i="1"/>
  <c r="B70" i="1"/>
  <c r="B33" i="1"/>
  <c r="D32" i="1"/>
  <c r="F32" i="1" s="1"/>
  <c r="C32" i="1"/>
  <c r="E32" i="1" s="1"/>
  <c r="B32" i="1"/>
  <c r="E68" i="1"/>
  <c r="Q116" i="1"/>
  <c r="Q115" i="1"/>
  <c r="Q36" i="1"/>
  <c r="Q114" i="1"/>
  <c r="Q35" i="1"/>
  <c r="Q113" i="1"/>
  <c r="Q34" i="1"/>
  <c r="Q112" i="1"/>
  <c r="Q33" i="1"/>
  <c r="Q111" i="1"/>
  <c r="Q32" i="1"/>
  <c r="S110" i="1"/>
  <c r="R110" i="1"/>
  <c r="Q110" i="1"/>
  <c r="R31" i="1"/>
  <c r="Q31" i="1"/>
  <c r="T108" i="1"/>
  <c r="T110" i="1" s="1"/>
  <c r="T29" i="1"/>
  <c r="Q191" i="1"/>
  <c r="Q190" i="1"/>
  <c r="Q189" i="1"/>
  <c r="Q103" i="1"/>
  <c r="Q188" i="1"/>
  <c r="Q102" i="1"/>
  <c r="Q187" i="1"/>
  <c r="Q101" i="1"/>
  <c r="Y186" i="1"/>
  <c r="S186" i="1"/>
  <c r="R186" i="1"/>
  <c r="Q186" i="1"/>
  <c r="Q100" i="1"/>
  <c r="Y99" i="1"/>
  <c r="S99" i="1"/>
  <c r="R99" i="1"/>
  <c r="Q99" i="1"/>
  <c r="B11" i="1"/>
  <c r="B10" i="1"/>
  <c r="Q70" i="1"/>
  <c r="B9" i="1"/>
  <c r="Q69" i="1"/>
  <c r="B8" i="1"/>
  <c r="Q68" i="1"/>
  <c r="B7" i="1"/>
  <c r="Q67" i="1"/>
  <c r="J6" i="1"/>
  <c r="D6" i="1"/>
  <c r="C6" i="1"/>
  <c r="B6" i="1"/>
  <c r="Q66" i="1"/>
  <c r="Q65" i="1"/>
  <c r="Y64" i="1"/>
  <c r="S64" i="1"/>
  <c r="R64" i="1"/>
  <c r="Q64" i="1"/>
  <c r="B138" i="1"/>
  <c r="B137" i="1"/>
  <c r="B136" i="1"/>
  <c r="Q57" i="1"/>
  <c r="B135" i="1"/>
  <c r="Q56" i="1"/>
  <c r="B134" i="1"/>
  <c r="Q55" i="1"/>
  <c r="B133" i="1"/>
  <c r="Q54" i="1"/>
  <c r="J132" i="1"/>
  <c r="D132" i="1"/>
  <c r="C132" i="1"/>
  <c r="B132" i="1"/>
  <c r="Y53" i="1"/>
  <c r="S53" i="1"/>
  <c r="R53" i="1"/>
  <c r="Q53" i="1"/>
  <c r="Q156" i="1"/>
  <c r="B25" i="1"/>
  <c r="Q11" i="1"/>
  <c r="Q155" i="1"/>
  <c r="B24" i="1"/>
  <c r="Q10" i="1"/>
  <c r="Q154" i="1"/>
  <c r="B23" i="1"/>
  <c r="Q9" i="1"/>
  <c r="Q153" i="1"/>
  <c r="B22" i="1"/>
  <c r="Q8" i="1"/>
  <c r="Q152" i="1"/>
  <c r="B21" i="1"/>
  <c r="Q7" i="1"/>
  <c r="Q151" i="1"/>
  <c r="B20" i="1"/>
  <c r="Y6" i="1"/>
  <c r="S6" i="1"/>
  <c r="R6" i="1"/>
  <c r="Q6" i="1"/>
  <c r="Q150" i="1"/>
  <c r="B19" i="1"/>
  <c r="Y149" i="1"/>
  <c r="S149" i="1"/>
  <c r="R149" i="1"/>
  <c r="Q149" i="1"/>
  <c r="J18" i="1"/>
  <c r="D18" i="1"/>
  <c r="C18" i="1"/>
  <c r="B18" i="1"/>
  <c r="Q24" i="1"/>
  <c r="Q23" i="1"/>
  <c r="Q22" i="1"/>
  <c r="B99" i="1"/>
  <c r="B149" i="1"/>
  <c r="Q21" i="1"/>
  <c r="B98" i="1"/>
  <c r="B148" i="1"/>
  <c r="Q20" i="1"/>
  <c r="B97" i="1"/>
  <c r="B147" i="1"/>
  <c r="Q19" i="1"/>
  <c r="B96" i="1"/>
  <c r="B146" i="1"/>
  <c r="Y18" i="1"/>
  <c r="S18" i="1"/>
  <c r="R18" i="1"/>
  <c r="Q18" i="1"/>
  <c r="J95" i="1"/>
  <c r="D95" i="1"/>
  <c r="C95" i="1"/>
  <c r="B95" i="1"/>
  <c r="J145" i="1"/>
  <c r="D145" i="1"/>
  <c r="C145" i="1"/>
  <c r="B145" i="1"/>
  <c r="Q205" i="1"/>
  <c r="Q204" i="1"/>
  <c r="B63" i="1"/>
  <c r="Q203" i="1"/>
  <c r="B62" i="1"/>
  <c r="Q202" i="1"/>
  <c r="B61" i="1"/>
  <c r="Q201" i="1"/>
  <c r="B60" i="1"/>
  <c r="Q200" i="1"/>
  <c r="B59" i="1"/>
  <c r="Q199" i="1"/>
  <c r="B58" i="1"/>
  <c r="Y198" i="1"/>
  <c r="S198" i="1"/>
  <c r="R198" i="1"/>
  <c r="Q198" i="1"/>
  <c r="J57" i="1"/>
  <c r="D57" i="1"/>
  <c r="C57" i="1"/>
  <c r="B57" i="1"/>
  <c r="G57" i="1" l="1"/>
  <c r="H57" i="1"/>
  <c r="G58" i="1"/>
  <c r="H58" i="1"/>
  <c r="I58" i="1" s="1"/>
  <c r="J58" i="1" s="1"/>
  <c r="G60" i="1"/>
  <c r="H60" i="1"/>
  <c r="H62" i="1"/>
  <c r="G62" i="1"/>
  <c r="W205" i="1"/>
  <c r="X205" i="1" s="1"/>
  <c r="V205" i="1"/>
  <c r="G59" i="1"/>
  <c r="H59" i="1"/>
  <c r="I59" i="1" s="1"/>
  <c r="J59" i="1" s="1"/>
  <c r="H61" i="1"/>
  <c r="I61" i="1" s="1"/>
  <c r="G61" i="1"/>
  <c r="G63" i="1"/>
  <c r="H63" i="1"/>
  <c r="I63" i="1" s="1"/>
  <c r="J63" i="1" s="1"/>
  <c r="G96" i="1"/>
  <c r="I96" i="1" s="1"/>
  <c r="H96" i="1"/>
  <c r="W20" i="1"/>
  <c r="V20" i="1"/>
  <c r="G149" i="1"/>
  <c r="H149" i="1"/>
  <c r="V24" i="1"/>
  <c r="W24" i="1"/>
  <c r="X24" i="1" s="1"/>
  <c r="W151" i="1"/>
  <c r="X151" i="1" s="1"/>
  <c r="V151" i="1"/>
  <c r="V8" i="1"/>
  <c r="W8" i="1"/>
  <c r="X8" i="1" s="1"/>
  <c r="H23" i="1"/>
  <c r="I23" i="1" s="1"/>
  <c r="G23" i="1"/>
  <c r="V155" i="1"/>
  <c r="W155" i="1"/>
  <c r="X155" i="1" s="1"/>
  <c r="V53" i="1"/>
  <c r="W53" i="1"/>
  <c r="G132" i="1"/>
  <c r="H132" i="1"/>
  <c r="I132" i="1" s="1"/>
  <c r="H140" i="1" s="1"/>
  <c r="V54" i="1"/>
  <c r="W54" i="1"/>
  <c r="V56" i="1"/>
  <c r="W56" i="1"/>
  <c r="X56" i="1" s="1"/>
  <c r="Y56" i="1" s="1"/>
  <c r="G137" i="1"/>
  <c r="H137" i="1"/>
  <c r="H6" i="1"/>
  <c r="G6" i="1"/>
  <c r="W67" i="1"/>
  <c r="X67" i="1" s="1"/>
  <c r="V67" i="1"/>
  <c r="W69" i="1"/>
  <c r="V69" i="1"/>
  <c r="H11" i="1"/>
  <c r="G11" i="1"/>
  <c r="V102" i="1"/>
  <c r="W102" i="1"/>
  <c r="X102" i="1" s="1"/>
  <c r="W190" i="1"/>
  <c r="X190" i="1" s="1"/>
  <c r="V190" i="1"/>
  <c r="V31" i="1"/>
  <c r="V112" i="1"/>
  <c r="V114" i="1"/>
  <c r="W114" i="1"/>
  <c r="X114" i="1" s="1"/>
  <c r="H33" i="1"/>
  <c r="I33" i="1" s="1"/>
  <c r="G33" i="1"/>
  <c r="G34" i="1"/>
  <c r="H34" i="1"/>
  <c r="I34" i="1" s="1"/>
  <c r="G36" i="1"/>
  <c r="I36" i="1" s="1"/>
  <c r="H36" i="1"/>
  <c r="H45" i="1"/>
  <c r="G45" i="1"/>
  <c r="H46" i="1"/>
  <c r="H49" i="1"/>
  <c r="V127" i="1"/>
  <c r="U43" i="1"/>
  <c r="W43" i="1" s="1"/>
  <c r="G84" i="1"/>
  <c r="G87" i="1"/>
  <c r="G88" i="1"/>
  <c r="W141" i="1"/>
  <c r="W142" i="1"/>
  <c r="V92" i="1"/>
  <c r="H114" i="1"/>
  <c r="H125" i="1"/>
  <c r="G156" i="1"/>
  <c r="G169" i="1"/>
  <c r="X177" i="1"/>
  <c r="V174" i="1"/>
  <c r="W200" i="1"/>
  <c r="V200" i="1"/>
  <c r="X200" i="1" s="1"/>
  <c r="W202" i="1"/>
  <c r="X202" i="1" s="1"/>
  <c r="V202" i="1"/>
  <c r="V204" i="1"/>
  <c r="W204" i="1"/>
  <c r="V19" i="1"/>
  <c r="X19" i="1" s="1"/>
  <c r="W19" i="1"/>
  <c r="G148" i="1"/>
  <c r="H148" i="1"/>
  <c r="I148" i="1" s="1"/>
  <c r="G99" i="1"/>
  <c r="H99" i="1"/>
  <c r="G18" i="1"/>
  <c r="H18" i="1"/>
  <c r="I18" i="1" s="1"/>
  <c r="H27" i="1" s="1"/>
  <c r="W149" i="1"/>
  <c r="X149" i="1" s="1"/>
  <c r="W158" i="1" s="1"/>
  <c r="V149" i="1"/>
  <c r="G19" i="1"/>
  <c r="H19" i="1"/>
  <c r="V7" i="1"/>
  <c r="W7" i="1"/>
  <c r="G22" i="1"/>
  <c r="H22" i="1"/>
  <c r="I22" i="1" s="1"/>
  <c r="V154" i="1"/>
  <c r="W154" i="1"/>
  <c r="W11" i="1"/>
  <c r="V11" i="1"/>
  <c r="G133" i="1"/>
  <c r="H133" i="1"/>
  <c r="G135" i="1"/>
  <c r="H135" i="1"/>
  <c r="I135" i="1" s="1"/>
  <c r="G138" i="1"/>
  <c r="H138" i="1"/>
  <c r="G7" i="1"/>
  <c r="H7" i="1"/>
  <c r="G9" i="1"/>
  <c r="I9" i="1" s="1"/>
  <c r="H9" i="1"/>
  <c r="W99" i="1"/>
  <c r="V99" i="1"/>
  <c r="X99" i="1" s="1"/>
  <c r="W105" i="1" s="1"/>
  <c r="V100" i="1"/>
  <c r="W100" i="1"/>
  <c r="V188" i="1"/>
  <c r="W188" i="1"/>
  <c r="X188" i="1" s="1"/>
  <c r="Y188" i="1" s="1"/>
  <c r="V191" i="1"/>
  <c r="W191" i="1"/>
  <c r="V34" i="1"/>
  <c r="H32" i="1"/>
  <c r="I32" i="1" s="1"/>
  <c r="G32" i="1"/>
  <c r="G70" i="1"/>
  <c r="G71" i="1"/>
  <c r="H73" i="1"/>
  <c r="H75" i="1"/>
  <c r="H47" i="1"/>
  <c r="V125" i="1"/>
  <c r="V128" i="1"/>
  <c r="V131" i="1"/>
  <c r="W44" i="1"/>
  <c r="H83" i="1"/>
  <c r="G85" i="1"/>
  <c r="V77" i="1"/>
  <c r="V78" i="1"/>
  <c r="T138" i="1"/>
  <c r="V141" i="1" s="1"/>
  <c r="V88" i="1"/>
  <c r="F106" i="1"/>
  <c r="H106" i="1" s="1"/>
  <c r="H107" i="1"/>
  <c r="G122" i="1"/>
  <c r="H122" i="1"/>
  <c r="V164" i="1"/>
  <c r="G159" i="1"/>
  <c r="G168" i="1"/>
  <c r="G170" i="1"/>
  <c r="V172" i="1"/>
  <c r="X172" i="1" s="1"/>
  <c r="W181" i="1" s="1"/>
  <c r="V179" i="1"/>
  <c r="V177" i="1"/>
  <c r="V178" i="1"/>
  <c r="X178" i="1" s="1"/>
  <c r="Y178" i="1" s="1"/>
  <c r="X173" i="1"/>
  <c r="X179" i="1"/>
  <c r="W198" i="1"/>
  <c r="V198" i="1"/>
  <c r="H147" i="1"/>
  <c r="I147" i="1" s="1"/>
  <c r="G147" i="1"/>
  <c r="G98" i="1"/>
  <c r="H98" i="1"/>
  <c r="V22" i="1"/>
  <c r="W22" i="1"/>
  <c r="V150" i="1"/>
  <c r="W150" i="1"/>
  <c r="H21" i="1"/>
  <c r="I21" i="1" s="1"/>
  <c r="G21" i="1"/>
  <c r="V153" i="1"/>
  <c r="W153" i="1"/>
  <c r="X153" i="1" s="1"/>
  <c r="V10" i="1"/>
  <c r="W10" i="1"/>
  <c r="G25" i="1"/>
  <c r="H25" i="1"/>
  <c r="V55" i="1"/>
  <c r="W55" i="1"/>
  <c r="V57" i="1"/>
  <c r="W57" i="1"/>
  <c r="X57" i="1" s="1"/>
  <c r="Y57" i="1" s="1"/>
  <c r="W64" i="1"/>
  <c r="V64" i="1"/>
  <c r="W65" i="1"/>
  <c r="V65" i="1"/>
  <c r="V68" i="1"/>
  <c r="X68" i="1" s="1"/>
  <c r="W68" i="1"/>
  <c r="V70" i="1"/>
  <c r="W70" i="1"/>
  <c r="W186" i="1"/>
  <c r="V186" i="1"/>
  <c r="W101" i="1"/>
  <c r="V101" i="1"/>
  <c r="W103" i="1"/>
  <c r="X103" i="1" s="1"/>
  <c r="V103" i="1"/>
  <c r="W110" i="1"/>
  <c r="V110" i="1"/>
  <c r="V111" i="1"/>
  <c r="V113" i="1"/>
  <c r="W113" i="1"/>
  <c r="X113" i="1" s="1"/>
  <c r="V115" i="1"/>
  <c r="H35" i="1"/>
  <c r="G35" i="1"/>
  <c r="I35" i="1" s="1"/>
  <c r="H37" i="1"/>
  <c r="G37" i="1"/>
  <c r="G76" i="1"/>
  <c r="H76" i="1"/>
  <c r="I76" i="1" s="1"/>
  <c r="V123" i="1"/>
  <c r="H48" i="1"/>
  <c r="H50" i="1"/>
  <c r="V129" i="1"/>
  <c r="W129" i="1"/>
  <c r="X129" i="1" s="1"/>
  <c r="W45" i="1"/>
  <c r="V45" i="1"/>
  <c r="X45" i="1" s="1"/>
  <c r="T77" i="1"/>
  <c r="V81" i="1" s="1"/>
  <c r="W138" i="1"/>
  <c r="T88" i="1"/>
  <c r="V89" i="1" s="1"/>
  <c r="V90" i="1"/>
  <c r="G108" i="1"/>
  <c r="H108" i="1"/>
  <c r="I108" i="1" s="1"/>
  <c r="H121" i="1"/>
  <c r="H123" i="1"/>
  <c r="W163" i="1"/>
  <c r="X163" i="1" s="1"/>
  <c r="V163" i="1"/>
  <c r="V165" i="1"/>
  <c r="G160" i="1"/>
  <c r="V199" i="1"/>
  <c r="W199" i="1"/>
  <c r="V201" i="1"/>
  <c r="W201" i="1"/>
  <c r="X201" i="1" s="1"/>
  <c r="V203" i="1"/>
  <c r="W203" i="1"/>
  <c r="H145" i="1"/>
  <c r="G145" i="1"/>
  <c r="H95" i="1"/>
  <c r="I95" i="1" s="1"/>
  <c r="H101" i="1" s="1"/>
  <c r="G95" i="1"/>
  <c r="V18" i="1"/>
  <c r="W18" i="1"/>
  <c r="G146" i="1"/>
  <c r="I146" i="1" s="1"/>
  <c r="J146" i="1" s="1"/>
  <c r="H146" i="1"/>
  <c r="G97" i="1"/>
  <c r="H97" i="1"/>
  <c r="I97" i="1" s="1"/>
  <c r="V21" i="1"/>
  <c r="W21" i="1"/>
  <c r="V23" i="1"/>
  <c r="W23" i="1"/>
  <c r="X23" i="1" s="1"/>
  <c r="W6" i="1"/>
  <c r="V6" i="1"/>
  <c r="H20" i="1"/>
  <c r="G20" i="1"/>
  <c r="V152" i="1"/>
  <c r="X152" i="1" s="1"/>
  <c r="W152" i="1"/>
  <c r="V9" i="1"/>
  <c r="W9" i="1"/>
  <c r="X9" i="1" s="1"/>
  <c r="G24" i="1"/>
  <c r="H24" i="1"/>
  <c r="W156" i="1"/>
  <c r="V156" i="1"/>
  <c r="G134" i="1"/>
  <c r="I134" i="1" s="1"/>
  <c r="H134" i="1"/>
  <c r="G136" i="1"/>
  <c r="H136" i="1"/>
  <c r="I136" i="1" s="1"/>
  <c r="V66" i="1"/>
  <c r="W66" i="1"/>
  <c r="G8" i="1"/>
  <c r="H8" i="1"/>
  <c r="I8" i="1" s="1"/>
  <c r="G10" i="1"/>
  <c r="H10" i="1"/>
  <c r="V187" i="1"/>
  <c r="W187" i="1"/>
  <c r="X187" i="1" s="1"/>
  <c r="Y187" i="1" s="1"/>
  <c r="V189" i="1"/>
  <c r="W189" i="1"/>
  <c r="W35" i="1"/>
  <c r="V116" i="1"/>
  <c r="W116" i="1"/>
  <c r="X116" i="1" s="1"/>
  <c r="H72" i="1"/>
  <c r="I72" i="1" s="1"/>
  <c r="G72" i="1"/>
  <c r="H74" i="1"/>
  <c r="V124" i="1"/>
  <c r="W124" i="1"/>
  <c r="V126" i="1"/>
  <c r="W126" i="1"/>
  <c r="X126" i="1" s="1"/>
  <c r="V130" i="1"/>
  <c r="W130" i="1"/>
  <c r="T43" i="1"/>
  <c r="V44" i="1" s="1"/>
  <c r="V46" i="1"/>
  <c r="W46" i="1"/>
  <c r="X46" i="1" s="1"/>
  <c r="F83" i="1"/>
  <c r="H84" i="1" s="1"/>
  <c r="H86" i="1"/>
  <c r="V80" i="1"/>
  <c r="W140" i="1"/>
  <c r="U88" i="1"/>
  <c r="W92" i="1" s="1"/>
  <c r="X92" i="1" s="1"/>
  <c r="V91" i="1"/>
  <c r="G109" i="1"/>
  <c r="H109" i="1"/>
  <c r="I109" i="1" s="1"/>
  <c r="H124" i="1"/>
  <c r="H161" i="1"/>
  <c r="G172" i="1"/>
  <c r="V176" i="1"/>
  <c r="X176" i="1" s="1"/>
  <c r="Y176" i="1" s="1"/>
  <c r="X174" i="1"/>
  <c r="X175" i="1"/>
  <c r="E83" i="1"/>
  <c r="G83" i="1" s="1"/>
  <c r="I83" i="1" s="1"/>
  <c r="E121" i="1"/>
  <c r="G125" i="1" s="1"/>
  <c r="T163" i="1"/>
  <c r="T31" i="1"/>
  <c r="V35" i="1" s="1"/>
  <c r="U77" i="1"/>
  <c r="W77" i="1" s="1"/>
  <c r="X77" i="1" s="1"/>
  <c r="E106" i="1"/>
  <c r="G114" i="1" s="1"/>
  <c r="U31" i="1"/>
  <c r="Y31" i="1" s="1"/>
  <c r="X110" i="1"/>
  <c r="F70" i="1"/>
  <c r="H71" i="1" s="1"/>
  <c r="I71" i="1" s="1"/>
  <c r="U123" i="1"/>
  <c r="Y123" i="1" s="1"/>
  <c r="U163" i="1"/>
  <c r="Y163" i="1" s="1"/>
  <c r="E168" i="1"/>
  <c r="G173" i="1" s="1"/>
  <c r="X6" i="1"/>
  <c r="W13" i="1" s="1"/>
  <c r="X53" i="1"/>
  <c r="W59" i="1" s="1"/>
  <c r="E156" i="1"/>
  <c r="G157" i="1" s="1"/>
  <c r="F168" i="1"/>
  <c r="J168" i="1" s="1"/>
  <c r="F156" i="1"/>
  <c r="J156" i="1" s="1"/>
  <c r="U110" i="1"/>
  <c r="Y110" i="1" s="1"/>
  <c r="E70" i="1"/>
  <c r="G75" i="1" s="1"/>
  <c r="E45" i="1"/>
  <c r="G46" i="1" s="1"/>
  <c r="X18" i="1"/>
  <c r="W26" i="1" s="1"/>
  <c r="X64" i="1"/>
  <c r="W72" i="1" s="1"/>
  <c r="U138" i="1"/>
  <c r="I57" i="1"/>
  <c r="H65" i="1" s="1"/>
  <c r="J32" i="1"/>
  <c r="I45" i="1"/>
  <c r="J121" i="1"/>
  <c r="J70" i="1"/>
  <c r="I145" i="1"/>
  <c r="H151" i="1" s="1"/>
  <c r="I6" i="1"/>
  <c r="H13" i="1" s="1"/>
  <c r="X186" i="1"/>
  <c r="W193" i="1" s="1"/>
  <c r="X43" i="1" l="1"/>
  <c r="W48" i="1" s="1"/>
  <c r="I121" i="1"/>
  <c r="H127" i="1" s="1"/>
  <c r="W80" i="1"/>
  <c r="X35" i="1"/>
  <c r="Y152" i="1"/>
  <c r="J35" i="1"/>
  <c r="Y153" i="1"/>
  <c r="Y19" i="1"/>
  <c r="Y177" i="1"/>
  <c r="I114" i="1"/>
  <c r="X141" i="1"/>
  <c r="Y114" i="1"/>
  <c r="Y155" i="1"/>
  <c r="Y24" i="1"/>
  <c r="G124" i="1"/>
  <c r="I86" i="1"/>
  <c r="J136" i="1"/>
  <c r="Y23" i="1"/>
  <c r="H160" i="1"/>
  <c r="I160" i="1" s="1"/>
  <c r="G121" i="1"/>
  <c r="X70" i="1"/>
  <c r="Y70" i="1" s="1"/>
  <c r="I98" i="1"/>
  <c r="J98" i="1" s="1"/>
  <c r="W88" i="1"/>
  <c r="X88" i="1" s="1"/>
  <c r="J135" i="1"/>
  <c r="J22" i="1"/>
  <c r="H173" i="1"/>
  <c r="I173" i="1" s="1"/>
  <c r="G158" i="1"/>
  <c r="I125" i="1"/>
  <c r="H110" i="1"/>
  <c r="W81" i="1"/>
  <c r="X81" i="1" s="1"/>
  <c r="Y81" i="1" s="1"/>
  <c r="G49" i="1"/>
  <c r="I49" i="1" s="1"/>
  <c r="J49" i="1" s="1"/>
  <c r="W31" i="1"/>
  <c r="X69" i="1"/>
  <c r="Y69" i="1" s="1"/>
  <c r="X20" i="1"/>
  <c r="Y20" i="1" s="1"/>
  <c r="I62" i="1"/>
  <c r="J62" i="1" s="1"/>
  <c r="Y43" i="1"/>
  <c r="J106" i="1"/>
  <c r="Y138" i="1"/>
  <c r="J83" i="1"/>
  <c r="H90" i="1" s="1"/>
  <c r="H172" i="1"/>
  <c r="I172" i="1" s="1"/>
  <c r="H157" i="1"/>
  <c r="I157" i="1" s="1"/>
  <c r="H113" i="1"/>
  <c r="I113" i="1" s="1"/>
  <c r="W91" i="1"/>
  <c r="X91" i="1" s="1"/>
  <c r="Y91" i="1" s="1"/>
  <c r="V140" i="1"/>
  <c r="G86" i="1"/>
  <c r="G74" i="1"/>
  <c r="I74" i="1" s="1"/>
  <c r="J74" i="1" s="1"/>
  <c r="V33" i="1"/>
  <c r="X156" i="1"/>
  <c r="Y156" i="1" s="1"/>
  <c r="I20" i="1"/>
  <c r="J20" i="1" s="1"/>
  <c r="G171" i="1"/>
  <c r="W165" i="1"/>
  <c r="X165" i="1" s="1"/>
  <c r="G123" i="1"/>
  <c r="H112" i="1"/>
  <c r="G106" i="1"/>
  <c r="I106" i="1" s="1"/>
  <c r="H116" i="1" s="1"/>
  <c r="V79" i="1"/>
  <c r="V43" i="1"/>
  <c r="I37" i="1"/>
  <c r="J37" i="1" s="1"/>
  <c r="W115" i="1"/>
  <c r="X115" i="1" s="1"/>
  <c r="Y115" i="1" s="1"/>
  <c r="W111" i="1"/>
  <c r="X111" i="1" s="1"/>
  <c r="X55" i="1"/>
  <c r="Y55" i="1" s="1"/>
  <c r="X10" i="1"/>
  <c r="Y10" i="1" s="1"/>
  <c r="X22" i="1"/>
  <c r="Y22" i="1" s="1"/>
  <c r="G174" i="1"/>
  <c r="H168" i="1"/>
  <c r="I168" i="1" s="1"/>
  <c r="W164" i="1"/>
  <c r="X164" i="1" s="1"/>
  <c r="G111" i="1"/>
  <c r="W89" i="1"/>
  <c r="X89" i="1" s="1"/>
  <c r="V139" i="1"/>
  <c r="W78" i="1"/>
  <c r="X78" i="1" s="1"/>
  <c r="Y78" i="1" s="1"/>
  <c r="H85" i="1"/>
  <c r="I85" i="1" s="1"/>
  <c r="W128" i="1"/>
  <c r="X128" i="1" s="1"/>
  <c r="G47" i="1"/>
  <c r="I47" i="1" s="1"/>
  <c r="J47" i="1" s="1"/>
  <c r="G73" i="1"/>
  <c r="I73" i="1" s="1"/>
  <c r="J73" i="1" s="1"/>
  <c r="H70" i="1"/>
  <c r="I70" i="1" s="1"/>
  <c r="V36" i="1"/>
  <c r="W32" i="1"/>
  <c r="I7" i="1"/>
  <c r="J7" i="1" s="1"/>
  <c r="X11" i="1"/>
  <c r="Y11" i="1" s="1"/>
  <c r="I19" i="1"/>
  <c r="J19" i="1" s="1"/>
  <c r="X204" i="1"/>
  <c r="H158" i="1"/>
  <c r="I158" i="1" s="1"/>
  <c r="G110" i="1"/>
  <c r="V142" i="1"/>
  <c r="X142" i="1" s="1"/>
  <c r="Y142" i="1" s="1"/>
  <c r="H87" i="1"/>
  <c r="I87" i="1" s="1"/>
  <c r="W127" i="1"/>
  <c r="X127" i="1" s="1"/>
  <c r="Y127" i="1" s="1"/>
  <c r="I46" i="1"/>
  <c r="J46" i="1" s="1"/>
  <c r="I11" i="1"/>
  <c r="J11" i="1" s="1"/>
  <c r="I137" i="1"/>
  <c r="J137" i="1" s="1"/>
  <c r="X54" i="1"/>
  <c r="Y54" i="1" s="1"/>
  <c r="I149" i="1"/>
  <c r="J149" i="1" s="1"/>
  <c r="I60" i="1"/>
  <c r="J60" i="1" s="1"/>
  <c r="Y174" i="1"/>
  <c r="I124" i="1"/>
  <c r="J134" i="1"/>
  <c r="W90" i="1"/>
  <c r="X90" i="1" s="1"/>
  <c r="Y173" i="1"/>
  <c r="I75" i="1"/>
  <c r="J9" i="1"/>
  <c r="I84" i="1"/>
  <c r="J34" i="1"/>
  <c r="Y102" i="1"/>
  <c r="Y8" i="1"/>
  <c r="G161" i="1"/>
  <c r="I161" i="1" s="1"/>
  <c r="J161" i="1" s="1"/>
  <c r="X140" i="1"/>
  <c r="W33" i="1"/>
  <c r="J8" i="1"/>
  <c r="Y9" i="1"/>
  <c r="J97" i="1"/>
  <c r="Y201" i="1"/>
  <c r="W79" i="1"/>
  <c r="X79" i="1" s="1"/>
  <c r="Y79" i="1" s="1"/>
  <c r="G48" i="1"/>
  <c r="I48" i="1" s="1"/>
  <c r="J48" i="1" s="1"/>
  <c r="X101" i="1"/>
  <c r="Y101" i="1" s="1"/>
  <c r="X65" i="1"/>
  <c r="Y65" i="1" s="1"/>
  <c r="I25" i="1"/>
  <c r="J25" i="1" s="1"/>
  <c r="X150" i="1"/>
  <c r="Y150" i="1" s="1"/>
  <c r="H174" i="1"/>
  <c r="H111" i="1"/>
  <c r="X44" i="1"/>
  <c r="W36" i="1"/>
  <c r="V32" i="1"/>
  <c r="J148" i="1"/>
  <c r="J45" i="1"/>
  <c r="H52" i="1" s="1"/>
  <c r="Y77" i="1"/>
  <c r="Y88" i="1"/>
  <c r="Y175" i="1"/>
  <c r="G113" i="1"/>
  <c r="X80" i="1"/>
  <c r="Y80" i="1" s="1"/>
  <c r="X130" i="1"/>
  <c r="Y130" i="1" s="1"/>
  <c r="X124" i="1"/>
  <c r="Y124" i="1" s="1"/>
  <c r="X189" i="1"/>
  <c r="Y189" i="1" s="1"/>
  <c r="I10" i="1"/>
  <c r="J10" i="1" s="1"/>
  <c r="X66" i="1"/>
  <c r="Y66" i="1" s="1"/>
  <c r="I24" i="1"/>
  <c r="J24" i="1" s="1"/>
  <c r="X21" i="1"/>
  <c r="Y21" i="1" s="1"/>
  <c r="X203" i="1"/>
  <c r="Y203" i="1" s="1"/>
  <c r="X199" i="1"/>
  <c r="Y199" i="1" s="1"/>
  <c r="H171" i="1"/>
  <c r="I123" i="1"/>
  <c r="G112" i="1"/>
  <c r="V138" i="1"/>
  <c r="X138" i="1" s="1"/>
  <c r="W144" i="1" s="1"/>
  <c r="G50" i="1"/>
  <c r="I50" i="1" s="1"/>
  <c r="J50" i="1" s="1"/>
  <c r="W123" i="1"/>
  <c r="X123" i="1" s="1"/>
  <c r="Y103" i="1"/>
  <c r="Y68" i="1"/>
  <c r="J21" i="1"/>
  <c r="J147" i="1"/>
  <c r="Y179" i="1"/>
  <c r="H170" i="1"/>
  <c r="I170" i="1" s="1"/>
  <c r="J170" i="1" s="1"/>
  <c r="H159" i="1"/>
  <c r="I159" i="1" s="1"/>
  <c r="I122" i="1"/>
  <c r="G107" i="1"/>
  <c r="I107" i="1" s="1"/>
  <c r="J107" i="1" s="1"/>
  <c r="W139" i="1"/>
  <c r="X139" i="1" s="1"/>
  <c r="W131" i="1"/>
  <c r="X131" i="1" s="1"/>
  <c r="Y131" i="1" s="1"/>
  <c r="W125" i="1"/>
  <c r="X125" i="1" s="1"/>
  <c r="Y125" i="1" s="1"/>
  <c r="W34" i="1"/>
  <c r="X34" i="1" s="1"/>
  <c r="X191" i="1"/>
  <c r="Y191" i="1" s="1"/>
  <c r="X100" i="1"/>
  <c r="Y100" i="1" s="1"/>
  <c r="I138" i="1"/>
  <c r="J138" i="1" s="1"/>
  <c r="I133" i="1"/>
  <c r="J133" i="1" s="1"/>
  <c r="X154" i="1"/>
  <c r="Y154" i="1" s="1"/>
  <c r="X7" i="1"/>
  <c r="Y7" i="1" s="1"/>
  <c r="I99" i="1"/>
  <c r="J99" i="1" s="1"/>
  <c r="H169" i="1"/>
  <c r="I169" i="1" s="1"/>
  <c r="J169" i="1" s="1"/>
  <c r="H156" i="1"/>
  <c r="I156" i="1" s="1"/>
  <c r="H163" i="1" s="1"/>
  <c r="H88" i="1"/>
  <c r="I88" i="1" s="1"/>
  <c r="J33" i="1"/>
  <c r="W112" i="1"/>
  <c r="X112" i="1" s="1"/>
  <c r="Y112" i="1" s="1"/>
  <c r="Y190" i="1"/>
  <c r="Y67" i="1"/>
  <c r="J23" i="1"/>
  <c r="Y151" i="1"/>
  <c r="J96" i="1"/>
  <c r="J61" i="1"/>
  <c r="Y205" i="1"/>
  <c r="H78" i="1"/>
  <c r="J71" i="1" s="1"/>
  <c r="W133" i="1"/>
  <c r="Y129" i="1" s="1"/>
  <c r="W118" i="1"/>
  <c r="Y116" i="1" s="1"/>
  <c r="W94" i="1"/>
  <c r="Y92" i="1" s="1"/>
  <c r="W83" i="1"/>
  <c r="X31" i="1"/>
  <c r="W38" i="1" s="1"/>
  <c r="X198" i="1"/>
  <c r="W207" i="1" s="1"/>
  <c r="Y200" i="1" s="1"/>
  <c r="H40" i="1"/>
  <c r="J36" i="1" s="1"/>
  <c r="W167" i="1"/>
  <c r="H176" i="1"/>
  <c r="J85" i="1" l="1"/>
  <c r="J109" i="1"/>
  <c r="J108" i="1"/>
  <c r="Y46" i="1"/>
  <c r="Y45" i="1"/>
  <c r="Y139" i="1"/>
  <c r="Y140" i="1"/>
  <c r="Y165" i="1"/>
  <c r="J160" i="1"/>
  <c r="I111" i="1"/>
  <c r="J111" i="1" s="1"/>
  <c r="X33" i="1"/>
  <c r="Y33" i="1" s="1"/>
  <c r="J84" i="1"/>
  <c r="J124" i="1"/>
  <c r="J113" i="1"/>
  <c r="J122" i="1"/>
  <c r="J123" i="1"/>
  <c r="X36" i="1"/>
  <c r="Y36" i="1" s="1"/>
  <c r="I174" i="1"/>
  <c r="J174" i="1" s="1"/>
  <c r="Y202" i="1"/>
  <c r="Y113" i="1"/>
  <c r="J87" i="1"/>
  <c r="Y204" i="1"/>
  <c r="X32" i="1"/>
  <c r="Y32" i="1" s="1"/>
  <c r="I112" i="1"/>
  <c r="J112" i="1" s="1"/>
  <c r="J157" i="1"/>
  <c r="J173" i="1"/>
  <c r="Y141" i="1"/>
  <c r="J76" i="1"/>
  <c r="Y35" i="1"/>
  <c r="Y44" i="1"/>
  <c r="J75" i="1"/>
  <c r="J125" i="1"/>
  <c r="J86" i="1"/>
  <c r="Y34" i="1"/>
  <c r="Y90" i="1"/>
  <c r="J158" i="1"/>
  <c r="Y164" i="1"/>
  <c r="J88" i="1"/>
  <c r="J159" i="1"/>
  <c r="I171" i="1"/>
  <c r="J171" i="1" s="1"/>
  <c r="Y126" i="1"/>
  <c r="J72" i="1"/>
  <c r="Y128" i="1"/>
  <c r="Y89" i="1"/>
  <c r="Y111" i="1"/>
  <c r="J172" i="1"/>
  <c r="I110" i="1"/>
  <c r="J110" i="1" s="1"/>
  <c r="J114" i="1"/>
</calcChain>
</file>

<file path=xl/sharedStrings.xml><?xml version="1.0" encoding="utf-8"?>
<sst xmlns="http://schemas.openxmlformats.org/spreadsheetml/2006/main" count="455" uniqueCount="51">
  <si>
    <t>LAG</t>
  </si>
  <si>
    <t>circumference</t>
  </si>
  <si>
    <t>min</t>
  </si>
  <si>
    <t>max</t>
  </si>
  <si>
    <t>min mm</t>
  </si>
  <si>
    <t>max mm</t>
  </si>
  <si>
    <t>circumference mm min</t>
  </si>
  <si>
    <t>circumference mm max</t>
  </si>
  <si>
    <t>mm circumference</t>
  </si>
  <si>
    <t>ellipses model mm</t>
  </si>
  <si>
    <t>male</t>
  </si>
  <si>
    <t>scale</t>
  </si>
  <si>
    <t>female</t>
  </si>
  <si>
    <t>specimen</t>
  </si>
  <si>
    <t>sex</t>
  </si>
  <si>
    <t>SVL</t>
  </si>
  <si>
    <t>circumference modell ellipse mm</t>
  </si>
  <si>
    <t>age</t>
  </si>
  <si>
    <t>inner LAG lost</t>
  </si>
  <si>
    <t>hatchling min</t>
  </si>
  <si>
    <t>hatchling max</t>
  </si>
  <si>
    <t>200 mm SVL</t>
  </si>
  <si>
    <t>mean female</t>
  </si>
  <si>
    <t>mean male</t>
  </si>
  <si>
    <t>mean reproductive female</t>
  </si>
  <si>
    <t>Female</t>
  </si>
  <si>
    <t>Male</t>
  </si>
  <si>
    <t>Literature values</t>
  </si>
  <si>
    <t>yes</t>
  </si>
  <si>
    <t>no</t>
  </si>
  <si>
    <t>Regression:</t>
  </si>
  <si>
    <t>a</t>
  </si>
  <si>
    <t>b</t>
  </si>
  <si>
    <t>Circumference in mm</t>
  </si>
  <si>
    <t>sexual maturity female</t>
  </si>
  <si>
    <t>yearling 2x 45</t>
  </si>
  <si>
    <t>yearling 2x 60</t>
  </si>
  <si>
    <t>sexual maturity male min</t>
  </si>
  <si>
    <t>sexual maturity male max</t>
  </si>
  <si>
    <t>sexual maturity female min</t>
  </si>
  <si>
    <t>Source</t>
  </si>
  <si>
    <t>Berry 1974</t>
  </si>
  <si>
    <t>Berry 1974, Kwiatkowski et al. 2009</t>
  </si>
  <si>
    <t>Kwiatkowski et al. 2009</t>
  </si>
  <si>
    <t>yearling @ 99 mm SVL</t>
  </si>
  <si>
    <t>Kwiatkowski et al. 2009, Sullivan and Sullivan 2012</t>
  </si>
  <si>
    <t>Sullivan et al. 2004</t>
  </si>
  <si>
    <t>sexual maturity male</t>
  </si>
  <si>
    <t>Abts 1987</t>
  </si>
  <si>
    <t>Abts 1987, 1988</t>
  </si>
  <si>
    <t>Nagy 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</si>
</sst>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7"/>
  <sheetViews>
    <sheetView tabSelected="1" workbookViewId="0"/>
  </sheetViews>
  <sheetFormatPr baseColWidth="10" defaultRowHeight="15" x14ac:dyDescent="0.2"/>
  <sheetData>
    <row r="1" spans="1:25" x14ac:dyDescent="0.2">
      <c r="A1" s="6" t="s">
        <v>25</v>
      </c>
      <c r="P1" s="6" t="s">
        <v>26</v>
      </c>
    </row>
    <row r="4" spans="1:25" x14ac:dyDescent="0.2">
      <c r="A4">
        <v>174529</v>
      </c>
      <c r="P4">
        <v>13407</v>
      </c>
    </row>
    <row r="5" spans="1:25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P5" t="s">
        <v>0</v>
      </c>
      <c r="Q5" t="s">
        <v>1</v>
      </c>
      <c r="R5" t="s">
        <v>2</v>
      </c>
      <c r="S5" t="s">
        <v>3</v>
      </c>
      <c r="T5" t="s">
        <v>4</v>
      </c>
      <c r="U5" t="s">
        <v>5</v>
      </c>
      <c r="V5" t="s">
        <v>6</v>
      </c>
      <c r="W5" t="s">
        <v>7</v>
      </c>
      <c r="X5" t="s">
        <v>8</v>
      </c>
      <c r="Y5" t="s">
        <v>9</v>
      </c>
    </row>
    <row r="6" spans="1:25" x14ac:dyDescent="0.2">
      <c r="A6">
        <v>6</v>
      </c>
      <c r="B6">
        <f>(6171+6148+6160)/3</f>
        <v>6159.666666666667</v>
      </c>
      <c r="C6">
        <f>(1864+1863+1868)/3</f>
        <v>1865</v>
      </c>
      <c r="D6">
        <f>(2028+2018+2022)/3</f>
        <v>2022.6666666666667</v>
      </c>
      <c r="E6">
        <v>2.573</v>
      </c>
      <c r="F6">
        <v>2.8759999999999999</v>
      </c>
      <c r="G6" s="1">
        <f t="shared" ref="G6:G11" si="0">B6/$C$6*$E$6</f>
        <v>8.4980280607685437</v>
      </c>
      <c r="H6" s="1">
        <f t="shared" ref="H6:H11" si="1">B6/$D$6*$F$6</f>
        <v>8.7583394858272907</v>
      </c>
      <c r="I6" s="1">
        <f t="shared" ref="I6:I11" si="2">(H6+G6)/2</f>
        <v>8.6281837732979163</v>
      </c>
      <c r="J6" s="2">
        <f>4*(F6/2+E6/2)*(PI()/4)^((4*F6/2*E6/2)/(F6/2+E6/2)^2)</f>
        <v>8.5656648186469209</v>
      </c>
      <c r="K6" s="7"/>
      <c r="P6">
        <v>6</v>
      </c>
      <c r="Q6">
        <f>(6894+6886+6850)/3</f>
        <v>6876.666666666667</v>
      </c>
      <c r="R6">
        <f>(2145+2130+2128)/3</f>
        <v>2134.3333333333335</v>
      </c>
      <c r="S6">
        <f>(2202+2191+2189)/3</f>
        <v>2194</v>
      </c>
      <c r="T6">
        <v>2.9249999999999998</v>
      </c>
      <c r="U6">
        <v>3.1160000000000001</v>
      </c>
      <c r="V6" s="1">
        <f t="shared" ref="V6:V11" si="3">Q6/$R$6*$T$6</f>
        <v>9.4241371232234883</v>
      </c>
      <c r="W6" s="1">
        <f t="shared" ref="W6:W11" si="4">Q6/$S$6*$U$6</f>
        <v>9.7664965056213919</v>
      </c>
      <c r="X6" s="1">
        <f t="shared" ref="X6:X11" si="5">(W6+V6)/2</f>
        <v>9.5953168144224392</v>
      </c>
      <c r="Y6" s="1">
        <f>4*(U6/2+T6/2)*(PI()/4)^((4*U6/2*T6/2)/(U6/2+T6/2)^2)</f>
        <v>9.4914723392739635</v>
      </c>
    </row>
    <row r="7" spans="1:25" x14ac:dyDescent="0.2">
      <c r="A7">
        <v>5</v>
      </c>
      <c r="B7">
        <f>(6013+6067+6029)/3</f>
        <v>6036.333333333333</v>
      </c>
      <c r="G7" s="1">
        <f t="shared" si="0"/>
        <v>8.3278743521000891</v>
      </c>
      <c r="H7" s="1">
        <f t="shared" si="1"/>
        <v>8.5829736321687538</v>
      </c>
      <c r="I7" s="1">
        <f t="shared" si="2"/>
        <v>8.4554239921344205</v>
      </c>
      <c r="J7" s="2">
        <f>I7*$H$13</f>
        <v>8.3941568375386701</v>
      </c>
      <c r="K7" s="7"/>
      <c r="P7">
        <v>5</v>
      </c>
      <c r="Q7">
        <f>(6698+6659+6656)/3</f>
        <v>6671</v>
      </c>
      <c r="V7" s="1">
        <f t="shared" si="3"/>
        <v>9.1422809620490373</v>
      </c>
      <c r="W7" s="1">
        <f t="shared" si="4"/>
        <v>9.4744010938924355</v>
      </c>
      <c r="X7" s="1">
        <f t="shared" si="5"/>
        <v>9.3083410279707373</v>
      </c>
      <c r="Y7" s="1">
        <f>X7*$W$13</f>
        <v>9.2076023231163298</v>
      </c>
    </row>
    <row r="8" spans="1:25" x14ac:dyDescent="0.2">
      <c r="A8">
        <v>4</v>
      </c>
      <c r="B8">
        <f>(5889+5902+5884)/3</f>
        <v>5891.666666666667</v>
      </c>
      <c r="G8" s="1">
        <f t="shared" si="0"/>
        <v>8.1282886505808758</v>
      </c>
      <c r="H8" s="1">
        <f t="shared" si="1"/>
        <v>8.3772742254449568</v>
      </c>
      <c r="I8" s="1">
        <f t="shared" si="2"/>
        <v>8.2527814380129172</v>
      </c>
      <c r="J8" s="2">
        <f>I8*$H$13</f>
        <v>8.1929826110495352</v>
      </c>
      <c r="K8" s="7"/>
      <c r="P8">
        <v>4</v>
      </c>
      <c r="Q8">
        <f>(6344+6285+6287)/3</f>
        <v>6305.333333333333</v>
      </c>
      <c r="V8" s="1">
        <f t="shared" si="3"/>
        <v>8.6411525847259085</v>
      </c>
      <c r="W8" s="1">
        <f t="shared" si="4"/>
        <v>8.9550677605590998</v>
      </c>
      <c r="X8" s="1">
        <f t="shared" si="5"/>
        <v>8.7981101726425042</v>
      </c>
      <c r="Y8" s="1">
        <f>X8*$W$13</f>
        <v>8.7028933964956998</v>
      </c>
    </row>
    <row r="9" spans="1:25" x14ac:dyDescent="0.2">
      <c r="A9">
        <v>3</v>
      </c>
      <c r="B9">
        <f>(5694+5693+5697)/3</f>
        <v>5694.666666666667</v>
      </c>
      <c r="G9" s="1">
        <f t="shared" si="0"/>
        <v>7.8565025915996429</v>
      </c>
      <c r="H9" s="1">
        <f t="shared" si="1"/>
        <v>8.0971628213579425</v>
      </c>
      <c r="I9" s="1">
        <f t="shared" si="2"/>
        <v>7.9768327064787927</v>
      </c>
      <c r="J9" s="2">
        <f>I9*$H$13</f>
        <v>7.9190333763604093</v>
      </c>
      <c r="K9" s="7"/>
      <c r="P9">
        <v>3</v>
      </c>
      <c r="Q9">
        <f>(5955+5966+5980)/3</f>
        <v>5967</v>
      </c>
      <c r="V9" s="1">
        <f t="shared" si="3"/>
        <v>8.1774832109948452</v>
      </c>
      <c r="W9" s="1">
        <f t="shared" si="4"/>
        <v>8.474554238833182</v>
      </c>
      <c r="X9" s="1">
        <f t="shared" si="5"/>
        <v>8.3260187249140145</v>
      </c>
      <c r="Y9" s="1">
        <f>X9*$W$13</f>
        <v>8.2359111170791692</v>
      </c>
    </row>
    <row r="10" spans="1:25" x14ac:dyDescent="0.2">
      <c r="A10">
        <v>2</v>
      </c>
      <c r="B10">
        <f>(5130+5177+5187)/3</f>
        <v>5164.666666666667</v>
      </c>
      <c r="G10" s="1">
        <f t="shared" si="0"/>
        <v>7.1253015192135836</v>
      </c>
      <c r="H10" s="1">
        <f t="shared" si="1"/>
        <v>7.34356361239288</v>
      </c>
      <c r="I10" s="1">
        <f t="shared" si="2"/>
        <v>7.2344325658032318</v>
      </c>
      <c r="J10" s="2">
        <f>I10*$H$13</f>
        <v>7.1820125926790084</v>
      </c>
      <c r="K10" s="7"/>
      <c r="P10">
        <v>2</v>
      </c>
      <c r="Q10">
        <f>(5645+5625+5643)/3</f>
        <v>5637.666666666667</v>
      </c>
      <c r="V10" s="1">
        <f t="shared" si="3"/>
        <v>7.7261478994221449</v>
      </c>
      <c r="W10" s="1">
        <f t="shared" si="4"/>
        <v>8.0068228501975085</v>
      </c>
      <c r="X10" s="1">
        <f t="shared" si="5"/>
        <v>7.8664853748098267</v>
      </c>
      <c r="Y10" s="1">
        <f>X10*$W$13</f>
        <v>7.7813510263761785</v>
      </c>
    </row>
    <row r="11" spans="1:25" x14ac:dyDescent="0.2">
      <c r="A11">
        <v>1</v>
      </c>
      <c r="B11">
        <f>(4881+4875+4873)/3</f>
        <v>4876.333333333333</v>
      </c>
      <c r="G11" s="1">
        <f t="shared" si="0"/>
        <v>6.7275097408400351</v>
      </c>
      <c r="H11" s="1">
        <f t="shared" si="1"/>
        <v>6.9335866842452196</v>
      </c>
      <c r="I11" s="1">
        <f t="shared" si="2"/>
        <v>6.8305482125426273</v>
      </c>
      <c r="J11" s="2">
        <f>I11*$H$13</f>
        <v>6.7810547449529626</v>
      </c>
      <c r="K11" s="7"/>
      <c r="P11">
        <v>1</v>
      </c>
      <c r="Q11">
        <f>(5323+5308+5258)/3</f>
        <v>5296.333333333333</v>
      </c>
      <c r="V11" s="1">
        <f t="shared" si="3"/>
        <v>7.2583671716382927</v>
      </c>
      <c r="W11" s="1">
        <f t="shared" si="4"/>
        <v>7.5220486174415067</v>
      </c>
      <c r="X11" s="1">
        <f t="shared" si="5"/>
        <v>7.3902078945399001</v>
      </c>
      <c r="Y11" s="1">
        <f>X11*$W$13</f>
        <v>7.3102280173884644</v>
      </c>
    </row>
    <row r="12" spans="1:25" x14ac:dyDescent="0.2">
      <c r="G12" s="1"/>
      <c r="H12" s="1"/>
      <c r="I12" s="1"/>
      <c r="J12" s="1"/>
    </row>
    <row r="13" spans="1:25" x14ac:dyDescent="0.2">
      <c r="H13" s="1">
        <f>J6/I6</f>
        <v>0.99275410024940869</v>
      </c>
      <c r="W13" s="1">
        <f>Y6/X6</f>
        <v>0.98917758765480368</v>
      </c>
    </row>
    <row r="16" spans="1:25" x14ac:dyDescent="0.2">
      <c r="A16">
        <v>174542</v>
      </c>
      <c r="P16">
        <v>19460</v>
      </c>
    </row>
    <row r="17" spans="1:25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  <c r="P17" t="s">
        <v>0</v>
      </c>
      <c r="Q17" t="s">
        <v>1</v>
      </c>
      <c r="R17" t="s">
        <v>2</v>
      </c>
      <c r="S17" t="s">
        <v>3</v>
      </c>
      <c r="T17" t="s">
        <v>4</v>
      </c>
      <c r="U17" t="s">
        <v>5</v>
      </c>
      <c r="V17" t="s">
        <v>6</v>
      </c>
      <c r="W17" t="s">
        <v>7</v>
      </c>
      <c r="X17" t="s">
        <v>8</v>
      </c>
      <c r="Y17" t="s">
        <v>9</v>
      </c>
    </row>
    <row r="18" spans="1:25" x14ac:dyDescent="0.2">
      <c r="A18">
        <v>8</v>
      </c>
      <c r="B18">
        <f>(5655+5679+5654)/3</f>
        <v>5662.666666666667</v>
      </c>
      <c r="C18">
        <f>(1685+1689+1688)/3</f>
        <v>1687.3333333333333</v>
      </c>
      <c r="D18">
        <f>(1892+1895+1884)/3</f>
        <v>1890.3333333333333</v>
      </c>
      <c r="E18">
        <v>2.3650000000000002</v>
      </c>
      <c r="F18">
        <v>2.6419999999999999</v>
      </c>
      <c r="G18" s="1">
        <f>B18/$C$18*$E$18</f>
        <v>7.9369063611220874</v>
      </c>
      <c r="H18" s="1">
        <f>B18/$D$18*$F$18</f>
        <v>7.9143530241579967</v>
      </c>
      <c r="I18" s="1">
        <f>(H18+G18)/2</f>
        <v>7.925629692640042</v>
      </c>
      <c r="J18" s="2">
        <f>4*(F18/2+E18/2)*(PI()/4)^((4*F18/2*E18/2)/(F18/2+E18/2)^2)</f>
        <v>7.8707941597730899</v>
      </c>
      <c r="K18" s="7"/>
      <c r="P18">
        <v>7</v>
      </c>
      <c r="Q18">
        <f>(7230+7203+7217)/3</f>
        <v>7216.666666666667</v>
      </c>
      <c r="R18">
        <f>(2086+2085*2)/3</f>
        <v>2085.3333333333335</v>
      </c>
      <c r="S18">
        <f>(2463+2455+2465)/3</f>
        <v>2461</v>
      </c>
      <c r="T18">
        <v>2.867</v>
      </c>
      <c r="U18">
        <v>3.4249999999999998</v>
      </c>
      <c r="V18" s="1">
        <f>Q18/$R$18*$T$18</f>
        <v>9.9217631074168793</v>
      </c>
      <c r="W18" s="1">
        <f>Q18/$S$18*$U$18</f>
        <v>10.043512122443451</v>
      </c>
      <c r="X18" s="1">
        <f>(W18+V18)/2</f>
        <v>9.9826376149301659</v>
      </c>
      <c r="Y18" s="1">
        <f>4*(U18/2+T18/2)*(PI()/4)^((4*U18/2*T18/2)/(U18/2+T18/2)^2)</f>
        <v>9.9022456143348574</v>
      </c>
    </row>
    <row r="19" spans="1:25" x14ac:dyDescent="0.2">
      <c r="A19">
        <v>7</v>
      </c>
      <c r="B19">
        <f>(5494+5481+5490)/3</f>
        <v>5488.333333333333</v>
      </c>
      <c r="G19" s="1">
        <f t="shared" ref="G19:G25" si="6">B19/$C$18*$E$18</f>
        <v>7.6925572896088505</v>
      </c>
      <c r="H19" s="1">
        <f t="shared" ref="H19:H25" si="7">B19/$D$18*$F$18</f>
        <v>7.6706982895432896</v>
      </c>
      <c r="I19" s="1">
        <f t="shared" ref="I19:I25" si="8">(H19+G19)/2</f>
        <v>7.6816277895760701</v>
      </c>
      <c r="J19" s="2">
        <f>I19*$H$27</f>
        <v>7.6284804474136987</v>
      </c>
      <c r="K19" s="7"/>
      <c r="P19">
        <v>6</v>
      </c>
      <c r="Q19">
        <f>(7035+7047+7028)/3</f>
        <v>7036.666666666667</v>
      </c>
      <c r="V19" s="1">
        <f t="shared" ref="V19:V24" si="9">Q19/$R$18*$T$18</f>
        <v>9.6742918797953958</v>
      </c>
      <c r="W19" s="1">
        <f t="shared" ref="W19:W24" si="10">Q19/$S$18*$U$18</f>
        <v>9.7930041988351615</v>
      </c>
      <c r="X19" s="1">
        <f t="shared" ref="X19:X24" si="11">(W19+V19)/2</f>
        <v>9.7336480393152787</v>
      </c>
      <c r="Y19" s="1">
        <f t="shared" ref="Y19:Y24" si="12">X19*$W$26</f>
        <v>9.6552611971643785</v>
      </c>
    </row>
    <row r="20" spans="1:25" x14ac:dyDescent="0.2">
      <c r="A20">
        <v>6</v>
      </c>
      <c r="B20">
        <f>(5290+5285+5254)/3</f>
        <v>5276.333333333333</v>
      </c>
      <c r="G20" s="1">
        <f t="shared" si="6"/>
        <v>7.395413868036349</v>
      </c>
      <c r="H20" s="1">
        <f t="shared" si="7"/>
        <v>7.3743992241227287</v>
      </c>
      <c r="I20" s="1">
        <f t="shared" si="8"/>
        <v>7.3849065460795389</v>
      </c>
      <c r="J20" s="2">
        <f t="shared" ref="J20:J25" si="13">I20*$H$27</f>
        <v>7.3338121471066762</v>
      </c>
      <c r="K20" s="7"/>
      <c r="P20">
        <v>5</v>
      </c>
      <c r="Q20">
        <f>(6823+6786+6791)/3</f>
        <v>6800</v>
      </c>
      <c r="V20" s="1">
        <f t="shared" si="9"/>
        <v>9.3489130434782606</v>
      </c>
      <c r="W20" s="1">
        <f t="shared" si="10"/>
        <v>9.4636326696464845</v>
      </c>
      <c r="X20" s="1">
        <f t="shared" si="11"/>
        <v>9.4062728565623726</v>
      </c>
      <c r="Y20" s="1">
        <f t="shared" si="12"/>
        <v>9.3305224264402344</v>
      </c>
    </row>
    <row r="21" spans="1:25" x14ac:dyDescent="0.2">
      <c r="A21">
        <v>5</v>
      </c>
      <c r="B21">
        <f>(4917+4895+4937)/3</f>
        <v>4916.333333333333</v>
      </c>
      <c r="G21" s="1">
        <f t="shared" si="6"/>
        <v>6.8908306993283288</v>
      </c>
      <c r="H21" s="1">
        <f t="shared" si="7"/>
        <v>6.8712498677481921</v>
      </c>
      <c r="I21" s="1">
        <f t="shared" si="8"/>
        <v>6.88104028353826</v>
      </c>
      <c r="J21" s="2">
        <f t="shared" si="13"/>
        <v>6.8334320145098468</v>
      </c>
      <c r="K21" s="7"/>
      <c r="P21">
        <v>4</v>
      </c>
      <c r="Q21">
        <f>(6454*2+6438)/3</f>
        <v>6448.666666666667</v>
      </c>
      <c r="V21" s="1">
        <f t="shared" si="9"/>
        <v>8.8658858695652167</v>
      </c>
      <c r="W21" s="1">
        <f t="shared" si="10"/>
        <v>8.9746783150480844</v>
      </c>
      <c r="X21" s="1">
        <f t="shared" si="11"/>
        <v>8.9202820923066497</v>
      </c>
      <c r="Y21" s="1">
        <f t="shared" si="12"/>
        <v>8.8484454344074877</v>
      </c>
    </row>
    <row r="22" spans="1:25" x14ac:dyDescent="0.2">
      <c r="A22">
        <v>4</v>
      </c>
      <c r="B22">
        <f>(4754+4729+4736)/3</f>
        <v>4739.666666666667</v>
      </c>
      <c r="G22" s="1">
        <f t="shared" si="6"/>
        <v>6.643211181351246</v>
      </c>
      <c r="H22" s="1">
        <f t="shared" si="7"/>
        <v>6.6243339798977257</v>
      </c>
      <c r="I22" s="1">
        <f t="shared" si="8"/>
        <v>6.6337725806244858</v>
      </c>
      <c r="J22" s="2">
        <f t="shared" si="13"/>
        <v>6.5878750975873306</v>
      </c>
      <c r="K22" s="7"/>
      <c r="P22">
        <v>3</v>
      </c>
      <c r="Q22">
        <f>(5872+5879+5862)/3</f>
        <v>5871</v>
      </c>
      <c r="V22" s="1">
        <f t="shared" si="9"/>
        <v>8.0716865409207159</v>
      </c>
      <c r="W22" s="1">
        <f t="shared" si="10"/>
        <v>8.1707334416903681</v>
      </c>
      <c r="X22" s="1">
        <f t="shared" si="11"/>
        <v>8.1212099913055411</v>
      </c>
      <c r="Y22" s="1">
        <f t="shared" si="12"/>
        <v>8.0558084067103835</v>
      </c>
    </row>
    <row r="23" spans="1:25" x14ac:dyDescent="0.2">
      <c r="A23">
        <v>3</v>
      </c>
      <c r="B23">
        <f>(4517+4498+4496)/3</f>
        <v>4503.666666666667</v>
      </c>
      <c r="G23" s="1">
        <f t="shared" si="6"/>
        <v>6.3124288818648768</v>
      </c>
      <c r="H23" s="1">
        <f t="shared" si="7"/>
        <v>6.2944916240521955</v>
      </c>
      <c r="I23" s="1">
        <f t="shared" si="8"/>
        <v>6.3034602529585362</v>
      </c>
      <c r="J23" s="2">
        <f t="shared" si="13"/>
        <v>6.2598481217738531</v>
      </c>
      <c r="K23" s="7"/>
      <c r="P23">
        <v>2</v>
      </c>
      <c r="Q23">
        <f>(5461+5460+5488)/3</f>
        <v>5469.666666666667</v>
      </c>
      <c r="V23" s="1">
        <f t="shared" si="9"/>
        <v>7.5199173593350377</v>
      </c>
      <c r="W23" s="1">
        <f t="shared" si="10"/>
        <v>7.6121935527563318</v>
      </c>
      <c r="X23" s="1">
        <f t="shared" si="11"/>
        <v>7.5660554560456852</v>
      </c>
      <c r="Y23" s="1">
        <f t="shared" si="12"/>
        <v>7.5051246321302845</v>
      </c>
    </row>
    <row r="24" spans="1:25" x14ac:dyDescent="0.2">
      <c r="A24">
        <v>2</v>
      </c>
      <c r="B24">
        <f>(4229+2*4231)/3</f>
        <v>4230.333333333333</v>
      </c>
      <c r="G24" s="1">
        <f t="shared" si="6"/>
        <v>5.9293194389569344</v>
      </c>
      <c r="H24" s="1">
        <f t="shared" si="7"/>
        <v>5.9124708164344915</v>
      </c>
      <c r="I24" s="1">
        <f t="shared" si="8"/>
        <v>5.9208951276957134</v>
      </c>
      <c r="J24" s="2">
        <f t="shared" si="13"/>
        <v>5.8799298729503349</v>
      </c>
      <c r="K24" s="7"/>
      <c r="P24">
        <v>1</v>
      </c>
      <c r="Q24">
        <f>(4341+4332+4340)/3</f>
        <v>4337.666666666667</v>
      </c>
      <c r="V24" s="1">
        <f t="shared" si="9"/>
        <v>5.9635983056265989</v>
      </c>
      <c r="W24" s="1">
        <f t="shared" si="10"/>
        <v>6.0367770553975344</v>
      </c>
      <c r="X24" s="1">
        <f t="shared" si="11"/>
        <v>6.0001876805120666</v>
      </c>
      <c r="Y24" s="1">
        <f t="shared" si="12"/>
        <v>5.9518670752581748</v>
      </c>
    </row>
    <row r="25" spans="1:25" x14ac:dyDescent="0.2">
      <c r="A25">
        <v>1</v>
      </c>
      <c r="B25">
        <f>(3825+3808+3831)/3</f>
        <v>3821.3333333333335</v>
      </c>
      <c r="G25" s="1">
        <f t="shared" si="6"/>
        <v>5.3560568945081011</v>
      </c>
      <c r="H25" s="1">
        <f t="shared" si="7"/>
        <v>5.340837242108976</v>
      </c>
      <c r="I25" s="1">
        <f t="shared" si="8"/>
        <v>5.3484470683085386</v>
      </c>
      <c r="J25" s="2">
        <f t="shared" si="13"/>
        <v>5.3114424445278265</v>
      </c>
      <c r="K25" s="7"/>
    </row>
    <row r="26" spans="1:25" x14ac:dyDescent="0.2">
      <c r="W26" s="1">
        <f>Y18/X18</f>
        <v>0.99194681769524784</v>
      </c>
    </row>
    <row r="27" spans="1:25" x14ac:dyDescent="0.2">
      <c r="H27" s="1">
        <f>J18/I18</f>
        <v>0.9930812395994385</v>
      </c>
    </row>
    <row r="29" spans="1:25" x14ac:dyDescent="0.2">
      <c r="P29">
        <v>174552</v>
      </c>
      <c r="Q29" t="s">
        <v>10</v>
      </c>
      <c r="R29" t="s">
        <v>11</v>
      </c>
      <c r="S29">
        <v>0.8</v>
      </c>
      <c r="T29">
        <f>(582+573+576)/3</f>
        <v>577</v>
      </c>
    </row>
    <row r="30" spans="1:25" x14ac:dyDescent="0.2">
      <c r="A30">
        <v>174581</v>
      </c>
      <c r="B30" t="s">
        <v>12</v>
      </c>
      <c r="C30" t="s">
        <v>11</v>
      </c>
      <c r="D30">
        <v>0.8</v>
      </c>
      <c r="E30">
        <v>576</v>
      </c>
      <c r="P30" t="s">
        <v>0</v>
      </c>
      <c r="Q30" t="s">
        <v>1</v>
      </c>
      <c r="R30" t="s">
        <v>2</v>
      </c>
      <c r="S30" t="s">
        <v>3</v>
      </c>
      <c r="T30" t="s">
        <v>4</v>
      </c>
      <c r="U30" t="s">
        <v>5</v>
      </c>
      <c r="V30" t="s">
        <v>6</v>
      </c>
      <c r="W30" t="s">
        <v>7</v>
      </c>
      <c r="X30" t="s">
        <v>8</v>
      </c>
      <c r="Y30" t="s">
        <v>9</v>
      </c>
    </row>
    <row r="31" spans="1:25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P31">
        <v>6</v>
      </c>
      <c r="Q31" s="1">
        <f xml:space="preserve"> (5956+5940+5954)/3</f>
        <v>5950</v>
      </c>
      <c r="R31">
        <f>(1848+1855+1851)/3</f>
        <v>1851.3333333333333</v>
      </c>
      <c r="S31" s="1">
        <f>(1904+1893+1900)/3</f>
        <v>1899</v>
      </c>
      <c r="T31" s="1">
        <f>R31*S29/T29</f>
        <v>2.5668399768919699</v>
      </c>
      <c r="U31" s="1">
        <f>S31*S29/T29</f>
        <v>2.6329289428076259</v>
      </c>
      <c r="V31" s="1">
        <f t="shared" ref="V31:V36" si="14">Q31/$R$31*$T$31</f>
        <v>8.2495667244367414</v>
      </c>
      <c r="W31" s="1">
        <f t="shared" ref="W31:W36" si="15">Q31/$S$31*$U$31</f>
        <v>8.2495667244367414</v>
      </c>
      <c r="X31" s="1">
        <f t="shared" ref="X31:X36" si="16">(W31+V31)/2</f>
        <v>8.2495667244367414</v>
      </c>
      <c r="Y31" s="2">
        <f>4*(U31/2+T31/2)*(PI()/4)^((4*U31/2*T31/2)/(U31/2+T31/2)^2)</f>
        <v>8.1680966583060357</v>
      </c>
    </row>
    <row r="32" spans="1:25" x14ac:dyDescent="0.2">
      <c r="A32">
        <v>7</v>
      </c>
      <c r="B32" s="1">
        <f>(5296+5304+5306)/3</f>
        <v>5302</v>
      </c>
      <c r="C32">
        <f>(1569+1569+1575)/3</f>
        <v>1571</v>
      </c>
      <c r="D32" s="1">
        <f>(1781+1783+1775)/3</f>
        <v>1779.6666666666667</v>
      </c>
      <c r="E32" s="1">
        <f>C32*D30/E30</f>
        <v>2.1819444444444449</v>
      </c>
      <c r="F32" s="1">
        <f>D32*D30/E30</f>
        <v>2.4717592592592599</v>
      </c>
      <c r="G32" s="1">
        <f t="shared" ref="G32:G37" si="17">B32/$C$32*$E$32</f>
        <v>7.3638888888888898</v>
      </c>
      <c r="H32" s="1">
        <f t="shared" ref="H32:H37" si="18">B32/$D$32*$F$32</f>
        <v>7.3638888888888907</v>
      </c>
      <c r="I32" s="1">
        <f t="shared" ref="I32:I37" si="19">(H32+G32)/2</f>
        <v>7.3638888888888907</v>
      </c>
      <c r="J32" s="2">
        <f>4*(F32/2+E32/2)*(PI()/4)^((4*F32/2*E32/2)/(F32/2+E32/2)^2)</f>
        <v>7.3168723915538001</v>
      </c>
      <c r="K32" s="7"/>
      <c r="P32">
        <v>5</v>
      </c>
      <c r="Q32">
        <f>(5821+5812+5818)/3</f>
        <v>5817</v>
      </c>
      <c r="V32" s="1">
        <f t="shared" si="14"/>
        <v>8.0651646447140379</v>
      </c>
      <c r="W32" s="1">
        <f t="shared" si="15"/>
        <v>8.0651646447140379</v>
      </c>
      <c r="X32" s="1">
        <f t="shared" si="16"/>
        <v>8.0651646447140379</v>
      </c>
      <c r="Y32" s="2">
        <f>X32*$W$38</f>
        <v>7.9855156741791955</v>
      </c>
    </row>
    <row r="33" spans="1:25" x14ac:dyDescent="0.2">
      <c r="A33">
        <v>6</v>
      </c>
      <c r="B33">
        <f>(5149+5163+5156)/3</f>
        <v>5156</v>
      </c>
      <c r="G33" s="1">
        <f t="shared" si="17"/>
        <v>7.1611111111111132</v>
      </c>
      <c r="H33" s="1">
        <f t="shared" si="18"/>
        <v>7.1611111111111132</v>
      </c>
      <c r="I33" s="1">
        <f t="shared" si="19"/>
        <v>7.1611111111111132</v>
      </c>
      <c r="J33" s="2">
        <f>I33*$H$40</f>
        <v>7.1153892966524701</v>
      </c>
      <c r="K33" s="7"/>
      <c r="P33">
        <v>4</v>
      </c>
      <c r="Q33">
        <f>(5672+5667+5654)/3</f>
        <v>5664.333333333333</v>
      </c>
      <c r="V33" s="1">
        <f t="shared" si="14"/>
        <v>7.8534950895436157</v>
      </c>
      <c r="W33" s="1">
        <f t="shared" si="15"/>
        <v>7.8534950895436166</v>
      </c>
      <c r="X33" s="1">
        <f t="shared" si="16"/>
        <v>7.8534950895436157</v>
      </c>
      <c r="Y33" s="2">
        <f>X33*$W$38</f>
        <v>7.7759364994170568</v>
      </c>
    </row>
    <row r="34" spans="1:25" x14ac:dyDescent="0.2">
      <c r="A34">
        <v>5</v>
      </c>
      <c r="B34">
        <f>(4993+5017+4991)/3</f>
        <v>5000.333333333333</v>
      </c>
      <c r="G34" s="1">
        <f t="shared" si="17"/>
        <v>6.9449074074074089</v>
      </c>
      <c r="H34" s="1">
        <f t="shared" si="18"/>
        <v>6.9449074074074089</v>
      </c>
      <c r="I34" s="1">
        <f t="shared" si="19"/>
        <v>6.9449074074074089</v>
      </c>
      <c r="J34" s="2">
        <f>I34*$H$40</f>
        <v>6.9005659968375799</v>
      </c>
      <c r="K34" s="7"/>
      <c r="P34">
        <v>3</v>
      </c>
      <c r="Q34">
        <f>(5413+5420+5399)/3</f>
        <v>5410.666666666667</v>
      </c>
      <c r="V34" s="1">
        <f t="shared" si="14"/>
        <v>7.5017908723281348</v>
      </c>
      <c r="W34" s="1">
        <f t="shared" si="15"/>
        <v>7.5017908723281348</v>
      </c>
      <c r="X34" s="1">
        <f t="shared" si="16"/>
        <v>7.5017908723281348</v>
      </c>
      <c r="Y34" s="2">
        <f>X34*$W$38</f>
        <v>7.4277055998668677</v>
      </c>
    </row>
    <row r="35" spans="1:25" x14ac:dyDescent="0.2">
      <c r="A35">
        <v>4</v>
      </c>
      <c r="B35">
        <f>(4860+4866+4866)/3</f>
        <v>4864</v>
      </c>
      <c r="G35" s="1">
        <f t="shared" si="17"/>
        <v>6.7555555555555564</v>
      </c>
      <c r="H35" s="1">
        <f t="shared" si="18"/>
        <v>6.7555555555555573</v>
      </c>
      <c r="I35" s="1">
        <f t="shared" si="19"/>
        <v>6.7555555555555564</v>
      </c>
      <c r="J35" s="2">
        <f>I35*$H$40</f>
        <v>6.7124231068498075</v>
      </c>
      <c r="K35" s="7"/>
      <c r="P35">
        <v>2</v>
      </c>
      <c r="Q35">
        <f>(5110+5142+5134)/3</f>
        <v>5128.666666666667</v>
      </c>
      <c r="V35" s="1">
        <f t="shared" si="14"/>
        <v>7.1108030040439054</v>
      </c>
      <c r="W35" s="1">
        <f t="shared" si="15"/>
        <v>7.1108030040439072</v>
      </c>
      <c r="X35" s="1">
        <f t="shared" si="16"/>
        <v>7.1108030040439063</v>
      </c>
      <c r="Y35" s="2">
        <f>X35*$W$38</f>
        <v>7.0405790019437919</v>
      </c>
    </row>
    <row r="36" spans="1:25" x14ac:dyDescent="0.2">
      <c r="A36">
        <v>3</v>
      </c>
      <c r="B36">
        <f>(4711+4734+4747)/3</f>
        <v>4730.666666666667</v>
      </c>
      <c r="G36" s="1">
        <f t="shared" si="17"/>
        <v>6.5703703703703722</v>
      </c>
      <c r="H36" s="1">
        <f t="shared" si="18"/>
        <v>6.5703703703703713</v>
      </c>
      <c r="I36" s="1">
        <f t="shared" si="19"/>
        <v>6.5703703703703713</v>
      </c>
      <c r="J36" s="2">
        <f>I36*$H$40</f>
        <v>6.5284202804558982</v>
      </c>
      <c r="K36" s="7"/>
      <c r="P36">
        <v>1</v>
      </c>
      <c r="Q36">
        <f>(4583+4598+4583)/3</f>
        <v>4588</v>
      </c>
      <c r="V36" s="1">
        <f t="shared" si="14"/>
        <v>6.3611785095320625</v>
      </c>
      <c r="W36" s="1">
        <f t="shared" si="15"/>
        <v>6.3611785095320634</v>
      </c>
      <c r="X36" s="1">
        <f t="shared" si="16"/>
        <v>6.3611785095320634</v>
      </c>
      <c r="Y36" s="2">
        <f>X36*$W$38</f>
        <v>6.2983575576988402</v>
      </c>
    </row>
    <row r="37" spans="1:25" x14ac:dyDescent="0.2">
      <c r="A37">
        <v>2</v>
      </c>
      <c r="B37">
        <f>(4635+4648+4635)/3</f>
        <v>4639.333333333333</v>
      </c>
      <c r="G37" s="1">
        <f t="shared" si="17"/>
        <v>6.4435185185185189</v>
      </c>
      <c r="H37" s="1">
        <f t="shared" si="18"/>
        <v>6.4435185185185198</v>
      </c>
      <c r="I37" s="1">
        <f t="shared" si="19"/>
        <v>6.4435185185185198</v>
      </c>
      <c r="J37" s="2">
        <f>I37*$H$40</f>
        <v>6.4023783443760705</v>
      </c>
      <c r="K37" s="7"/>
    </row>
    <row r="38" spans="1:25" x14ac:dyDescent="0.2">
      <c r="A38">
        <v>1</v>
      </c>
      <c r="B38">
        <f>(4311+4297+4318)/3</f>
        <v>4308.666666666667</v>
      </c>
      <c r="W38" s="1">
        <f>Y31/X31</f>
        <v>0.99012432181566867</v>
      </c>
    </row>
    <row r="40" spans="1:25" x14ac:dyDescent="0.2">
      <c r="H40" s="1">
        <f>J32/I32</f>
        <v>0.99361526252710952</v>
      </c>
    </row>
    <row r="41" spans="1:25" x14ac:dyDescent="0.2">
      <c r="P41">
        <v>174632</v>
      </c>
      <c r="Q41" t="s">
        <v>10</v>
      </c>
      <c r="R41" t="s">
        <v>11</v>
      </c>
      <c r="S41">
        <v>0.8</v>
      </c>
      <c r="T41">
        <f>(579+579+585)/3</f>
        <v>581</v>
      </c>
    </row>
    <row r="42" spans="1:25" x14ac:dyDescent="0.2">
      <c r="P42" t="s">
        <v>0</v>
      </c>
      <c r="Q42" t="s">
        <v>1</v>
      </c>
      <c r="R42" t="s">
        <v>2</v>
      </c>
      <c r="S42" t="s">
        <v>3</v>
      </c>
      <c r="T42" t="s">
        <v>4</v>
      </c>
      <c r="U42" t="s">
        <v>5</v>
      </c>
      <c r="V42" t="s">
        <v>6</v>
      </c>
      <c r="W42" t="s">
        <v>7</v>
      </c>
      <c r="X42" t="s">
        <v>8</v>
      </c>
      <c r="Y42" t="s">
        <v>9</v>
      </c>
    </row>
    <row r="43" spans="1:25" x14ac:dyDescent="0.2">
      <c r="A43">
        <v>174618</v>
      </c>
      <c r="B43" t="s">
        <v>12</v>
      </c>
      <c r="C43" t="s">
        <v>11</v>
      </c>
      <c r="D43">
        <v>0.8</v>
      </c>
      <c r="E43">
        <f>(579+579+576)/3</f>
        <v>578</v>
      </c>
      <c r="P43">
        <v>4</v>
      </c>
      <c r="Q43" s="1">
        <f>(5332+5321+5324)/3</f>
        <v>5325.666666666667</v>
      </c>
      <c r="R43">
        <f>(1675+1664+1674)/3</f>
        <v>1671</v>
      </c>
      <c r="S43" s="1">
        <f>(1696+1700+1695)/3</f>
        <v>1697</v>
      </c>
      <c r="T43" s="1">
        <f>R43*S41/T41</f>
        <v>2.3008605851979351</v>
      </c>
      <c r="U43" s="1">
        <f>S43*S41/T41</f>
        <v>2.3366609294320142</v>
      </c>
      <c r="V43" s="1">
        <f>Q43/$R$43*$T$43</f>
        <v>7.33310384394722</v>
      </c>
      <c r="W43" s="1">
        <f>Q43/$S$43*$U$43</f>
        <v>7.3331038439472191</v>
      </c>
      <c r="X43" s="1">
        <f>(W43+V43)/2</f>
        <v>7.3331038439472191</v>
      </c>
      <c r="Y43" s="2">
        <f>4*(U43/2+T43/2)*(PI()/4)^((4*U43/2*T43/2)/(U43/2+T43/2)^2)</f>
        <v>7.2847066289878342</v>
      </c>
    </row>
    <row r="44" spans="1:25" x14ac:dyDescent="0.2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  <c r="I44" t="s">
        <v>8</v>
      </c>
      <c r="J44" t="s">
        <v>9</v>
      </c>
      <c r="P44">
        <v>3</v>
      </c>
      <c r="Q44">
        <f>(5093+5064+5063)/3</f>
        <v>5073.333333333333</v>
      </c>
      <c r="V44" s="1">
        <f>Q44/$R$43*$T$43</f>
        <v>6.985656913367758</v>
      </c>
      <c r="W44" s="1">
        <f>Q44/$S$43*$U$43</f>
        <v>6.985656913367758</v>
      </c>
      <c r="X44" s="1">
        <f>(W44+V44)/2</f>
        <v>6.985656913367758</v>
      </c>
      <c r="Y44" s="2">
        <f>X44*$W$48</f>
        <v>6.939552787957366</v>
      </c>
    </row>
    <row r="45" spans="1:25" x14ac:dyDescent="0.2">
      <c r="A45">
        <v>6</v>
      </c>
      <c r="B45" s="1">
        <f>(5416+5420+5448)/3</f>
        <v>5428</v>
      </c>
      <c r="C45">
        <f>(1681+1679+1693)/3</f>
        <v>1684.3333333333333</v>
      </c>
      <c r="D45" s="1">
        <f>(1749+1752+1750)/3</f>
        <v>1750.3333333333333</v>
      </c>
      <c r="E45" s="1">
        <f>C45*D43/E43</f>
        <v>2.3312572087658592</v>
      </c>
      <c r="F45" s="1">
        <f>D45*D43/E43</f>
        <v>2.4226066897347174</v>
      </c>
      <c r="G45" s="1">
        <f t="shared" ref="G45:G50" si="20">B45/$C$45*$E$45</f>
        <v>7.5128027681660896</v>
      </c>
      <c r="H45" s="1">
        <f t="shared" ref="H45:H50" si="21">B45/$D$45*$F$45</f>
        <v>7.5128027681660896</v>
      </c>
      <c r="I45" s="1">
        <f t="shared" ref="I45:I50" si="22">(H45+G45)/2</f>
        <v>7.5128027681660896</v>
      </c>
      <c r="J45" s="2">
        <f>4*(F45/2+E45/2)*(PI()/4)^((4*F45/2*E45/2)/(F45/2+E45/2)^2)</f>
        <v>7.4680180472458124</v>
      </c>
      <c r="K45" s="7"/>
      <c r="P45">
        <v>2</v>
      </c>
      <c r="Q45">
        <f>(4599+4625+4617)/3</f>
        <v>4613.666666666667</v>
      </c>
      <c r="V45" s="1">
        <f>Q45/$R$43*$T$43</f>
        <v>6.3527251864601277</v>
      </c>
      <c r="W45" s="1">
        <f>Q45/$S$43*$U$43</f>
        <v>6.3527251864601277</v>
      </c>
      <c r="X45" s="1">
        <f>(W45+V45)/2</f>
        <v>6.3527251864601277</v>
      </c>
      <c r="Y45" s="2">
        <f>X45*$W$48</f>
        <v>6.3107983007961828</v>
      </c>
    </row>
    <row r="46" spans="1:25" x14ac:dyDescent="0.2">
      <c r="A46">
        <v>5</v>
      </c>
      <c r="B46">
        <f>(5221+5213+5212)/3</f>
        <v>5215.333333333333</v>
      </c>
      <c r="G46" s="1">
        <f t="shared" si="20"/>
        <v>7.2184544405997686</v>
      </c>
      <c r="H46" s="1">
        <f t="shared" si="21"/>
        <v>7.2184544405997695</v>
      </c>
      <c r="I46" s="1">
        <f t="shared" si="22"/>
        <v>7.2184544405997695</v>
      </c>
      <c r="J46" s="2">
        <f>I46*$H$52</f>
        <v>7.1754243654635221</v>
      </c>
      <c r="K46" s="7"/>
      <c r="P46">
        <v>1</v>
      </c>
      <c r="Q46">
        <f>(4261+4272+4250)/3</f>
        <v>4261</v>
      </c>
      <c r="V46" s="1">
        <f>Q46/$R$43*$T$43</f>
        <v>5.8671256454389002</v>
      </c>
      <c r="W46" s="1">
        <f>Q46/$S$43*$U$43</f>
        <v>5.8671256454389002</v>
      </c>
      <c r="X46" s="1">
        <f>(W46+V46)/2</f>
        <v>5.8671256454389002</v>
      </c>
      <c r="Y46" s="2">
        <f>X46*$W$48</f>
        <v>5.8284036326188584</v>
      </c>
    </row>
    <row r="47" spans="1:25" x14ac:dyDescent="0.2">
      <c r="A47">
        <v>4</v>
      </c>
      <c r="B47">
        <f>(4965+4989+4970)/3</f>
        <v>4974.666666666667</v>
      </c>
      <c r="G47" s="1">
        <f t="shared" si="20"/>
        <v>6.8853517877739341</v>
      </c>
      <c r="H47" s="1">
        <f t="shared" si="21"/>
        <v>6.8853517877739341</v>
      </c>
      <c r="I47" s="1">
        <f t="shared" si="22"/>
        <v>6.8853517877739341</v>
      </c>
      <c r="J47" s="2">
        <f>I47*$H$52</f>
        <v>6.8443073776158521</v>
      </c>
      <c r="K47" s="7"/>
    </row>
    <row r="48" spans="1:25" x14ac:dyDescent="0.2">
      <c r="A48">
        <v>3</v>
      </c>
      <c r="B48">
        <f>(4767+4734+4770)/3</f>
        <v>4757</v>
      </c>
      <c r="G48" s="1">
        <f t="shared" si="20"/>
        <v>6.5840830449826981</v>
      </c>
      <c r="H48" s="1">
        <f t="shared" si="21"/>
        <v>6.584083044982699</v>
      </c>
      <c r="I48" s="1">
        <f t="shared" si="22"/>
        <v>6.5840830449826981</v>
      </c>
      <c r="J48" s="2">
        <f>I48*$H$52</f>
        <v>6.5448345340361698</v>
      </c>
      <c r="K48" s="7"/>
      <c r="W48" s="1">
        <f>Y43/X43</f>
        <v>0.9934001732432397</v>
      </c>
    </row>
    <row r="49" spans="1:25" x14ac:dyDescent="0.2">
      <c r="A49">
        <v>2</v>
      </c>
      <c r="B49">
        <f>(4349+4332+4368)/3</f>
        <v>4349.666666666667</v>
      </c>
      <c r="G49" s="1">
        <f t="shared" si="20"/>
        <v>6.0202998846597469</v>
      </c>
      <c r="H49" s="1">
        <f t="shared" si="21"/>
        <v>6.0202998846597469</v>
      </c>
      <c r="I49" s="1">
        <f t="shared" si="22"/>
        <v>6.0202998846597469</v>
      </c>
      <c r="J49" s="2">
        <f>I49*$H$52</f>
        <v>5.9844121529421903</v>
      </c>
      <c r="K49" s="7"/>
    </row>
    <row r="50" spans="1:25" x14ac:dyDescent="0.2">
      <c r="A50">
        <v>1</v>
      </c>
      <c r="B50">
        <f>(3850+3865+3865)/3</f>
        <v>3860</v>
      </c>
      <c r="G50" s="1">
        <f t="shared" si="20"/>
        <v>5.3425605536332181</v>
      </c>
      <c r="H50" s="1">
        <f t="shared" si="21"/>
        <v>5.3425605536332181</v>
      </c>
      <c r="I50" s="1">
        <f t="shared" si="22"/>
        <v>5.3425605536332181</v>
      </c>
      <c r="J50" s="2">
        <f>I50*$H$52</f>
        <v>5.3107129075845316</v>
      </c>
      <c r="K50" s="7"/>
    </row>
    <row r="51" spans="1:25" x14ac:dyDescent="0.2">
      <c r="P51">
        <v>174679</v>
      </c>
    </row>
    <row r="52" spans="1:25" x14ac:dyDescent="0.2">
      <c r="H52" s="1">
        <f>J45/I45</f>
        <v>0.9940388797227524</v>
      </c>
      <c r="P52" t="s">
        <v>0</v>
      </c>
      <c r="Q52" t="s">
        <v>1</v>
      </c>
      <c r="R52" t="s">
        <v>2</v>
      </c>
      <c r="S52" t="s">
        <v>3</v>
      </c>
      <c r="T52" t="s">
        <v>4</v>
      </c>
      <c r="U52" t="s">
        <v>5</v>
      </c>
      <c r="V52" t="s">
        <v>6</v>
      </c>
      <c r="W52" t="s">
        <v>7</v>
      </c>
      <c r="X52" t="s">
        <v>8</v>
      </c>
      <c r="Y52" t="s">
        <v>9</v>
      </c>
    </row>
    <row r="53" spans="1:25" x14ac:dyDescent="0.2">
      <c r="P53">
        <v>5</v>
      </c>
      <c r="Q53">
        <f>(6060+6044+6073)/3</f>
        <v>6059</v>
      </c>
      <c r="R53">
        <f>(1779+1781+1766)/3</f>
        <v>1775.3333333333333</v>
      </c>
      <c r="S53">
        <f>(2054+2042+2074)/3</f>
        <v>2056.6666666666665</v>
      </c>
      <c r="T53">
        <v>2.468</v>
      </c>
      <c r="U53">
        <v>2.8580000000000001</v>
      </c>
      <c r="V53" s="1">
        <f>Q53/$R$53*$T$53</f>
        <v>8.4229883589936172</v>
      </c>
      <c r="W53" s="1">
        <f>Q53/$S$53*$U$53</f>
        <v>8.4197513776337125</v>
      </c>
      <c r="X53" s="1">
        <f>(W53+V53)/2</f>
        <v>8.4213698683136649</v>
      </c>
      <c r="Y53" s="2">
        <f>4*(U53/2+T53/2)*(PI()/4)^((4*U53/2*T53/2)/(U53/2+T53/2)^2)</f>
        <v>8.3769045569020122</v>
      </c>
    </row>
    <row r="54" spans="1:25" x14ac:dyDescent="0.2">
      <c r="P54">
        <v>4</v>
      </c>
      <c r="Q54">
        <f>(5740+5778+5789)/3</f>
        <v>5769</v>
      </c>
      <c r="V54" s="1">
        <f>Q54/$R$53*$T$53</f>
        <v>8.0198415321066463</v>
      </c>
      <c r="W54" s="1">
        <f>Q54/$S$53*$U$53</f>
        <v>8.0167594813614276</v>
      </c>
      <c r="X54" s="1">
        <f>(W54+V54)/2</f>
        <v>8.018300506734036</v>
      </c>
      <c r="Y54" s="2">
        <f>X54*$W$59</f>
        <v>7.9759634244541511</v>
      </c>
    </row>
    <row r="55" spans="1:25" x14ac:dyDescent="0.2">
      <c r="A55">
        <v>174792</v>
      </c>
      <c r="P55">
        <v>3</v>
      </c>
      <c r="Q55">
        <f>(5323+5330+5278)/3</f>
        <v>5310.333333333333</v>
      </c>
      <c r="V55" s="1">
        <f>Q55/$R$53*$T$53</f>
        <v>7.3822208036049561</v>
      </c>
      <c r="W55" s="1">
        <f>Q55/$S$53*$U$53</f>
        <v>7.3793837925445702</v>
      </c>
      <c r="X55" s="1">
        <f>(W55+V55)/2</f>
        <v>7.3808022980747632</v>
      </c>
      <c r="Y55" s="2">
        <f>X55*$W$59</f>
        <v>7.3418312425596044</v>
      </c>
    </row>
    <row r="56" spans="1:25" x14ac:dyDescent="0.2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  <c r="H56" t="s">
        <v>7</v>
      </c>
      <c r="I56" t="s">
        <v>8</v>
      </c>
      <c r="J56" t="s">
        <v>9</v>
      </c>
      <c r="P56">
        <v>2</v>
      </c>
      <c r="Q56">
        <f>(4586+4588+4564)/3</f>
        <v>4579.333333333333</v>
      </c>
      <c r="V56" s="1">
        <f>Q56/$R$53*$T$53</f>
        <v>6.3660127675553886</v>
      </c>
      <c r="W56" s="1">
        <f>Q56/$S$53*$U$53</f>
        <v>6.3635662884927067</v>
      </c>
      <c r="X56" s="1">
        <f>(W56+V56)/2</f>
        <v>6.3647895280240476</v>
      </c>
      <c r="Y56" s="2">
        <f>X56*$W$59</f>
        <v>6.3311830776651723</v>
      </c>
    </row>
    <row r="57" spans="1:25" x14ac:dyDescent="0.2">
      <c r="A57">
        <v>7</v>
      </c>
      <c r="B57">
        <f>(6056+6047*2)/3</f>
        <v>6050</v>
      </c>
      <c r="C57">
        <f>(1670+1677+1684)/3</f>
        <v>1677</v>
      </c>
      <c r="D57">
        <f>(2114+2109+2103)/3</f>
        <v>2108.6666666666665</v>
      </c>
      <c r="E57">
        <v>2.274</v>
      </c>
      <c r="F57">
        <v>2.911</v>
      </c>
      <c r="G57" s="1">
        <f>B57/$C$57*$E$57</f>
        <v>8.2037567084078713</v>
      </c>
      <c r="H57" s="1">
        <f>B57/$D$57*$F$57</f>
        <v>8.3519838760670257</v>
      </c>
      <c r="I57" s="1">
        <f>(H57+G57)/2</f>
        <v>8.2778702922374485</v>
      </c>
      <c r="J57" s="2">
        <f>4*(F57/2+E57/2)*(PI()/4)^((4*F57/2*E57/2)/(F57/2+E57/2)^2)</f>
        <v>8.1743281346822432</v>
      </c>
      <c r="K57" s="7"/>
      <c r="P57">
        <v>1</v>
      </c>
      <c r="Q57">
        <f>(4121+4134+4133)/3</f>
        <v>4129.333333333333</v>
      </c>
      <c r="V57" s="1">
        <f>Q57/$R$53*$T$53</f>
        <v>5.7404401051445735</v>
      </c>
      <c r="W57" s="1">
        <f>Q57/$S$53*$U$53</f>
        <v>5.7382340356564017</v>
      </c>
      <c r="X57" s="1">
        <f>(W57+V57)/2</f>
        <v>5.739337070400488</v>
      </c>
      <c r="Y57" s="2">
        <f>X57*$W$59</f>
        <v>5.7090330445564241</v>
      </c>
    </row>
    <row r="58" spans="1:25" x14ac:dyDescent="0.2">
      <c r="A58">
        <v>6</v>
      </c>
      <c r="B58">
        <f>(5835+5834+5803)/3</f>
        <v>5824</v>
      </c>
      <c r="G58" s="1">
        <f t="shared" ref="G58:G63" si="23">B58/$C$57*$E$57</f>
        <v>7.8973023255813954</v>
      </c>
      <c r="H58" s="1">
        <f t="shared" ref="H58:H63" si="24">B58/$D$57*$F$57</f>
        <v>8.0399924122668356</v>
      </c>
      <c r="I58" s="1">
        <f t="shared" ref="I58:I63" si="25">(H58+G58)/2</f>
        <v>7.9686473689241151</v>
      </c>
      <c r="J58" s="2">
        <f t="shared" ref="J58:J63" si="26">I58*$H$65</f>
        <v>7.8689730671717983</v>
      </c>
      <c r="K58" s="7"/>
    </row>
    <row r="59" spans="1:25" x14ac:dyDescent="0.2">
      <c r="A59">
        <v>5</v>
      </c>
      <c r="B59">
        <f>(5502+5491+5532)/3</f>
        <v>5508.333333333333</v>
      </c>
      <c r="G59" s="1">
        <f t="shared" si="23"/>
        <v>7.4692605843768627</v>
      </c>
      <c r="H59" s="1">
        <f t="shared" si="24"/>
        <v>7.6042167246285182</v>
      </c>
      <c r="I59" s="1">
        <f t="shared" si="25"/>
        <v>7.53673865450269</v>
      </c>
      <c r="J59" s="2">
        <f t="shared" si="26"/>
        <v>7.4424668003098651</v>
      </c>
      <c r="K59" s="7"/>
      <c r="W59" s="1">
        <f>Y53/X53</f>
        <v>0.99471994317943946</v>
      </c>
    </row>
    <row r="60" spans="1:25" x14ac:dyDescent="0.2">
      <c r="A60">
        <v>4</v>
      </c>
      <c r="B60">
        <f>(5301+5347+5346)/3</f>
        <v>5331.333333333333</v>
      </c>
      <c r="G60" s="1">
        <f t="shared" si="23"/>
        <v>7.2292498509242691</v>
      </c>
      <c r="H60" s="1">
        <f t="shared" si="24"/>
        <v>7.3598694277584578</v>
      </c>
      <c r="I60" s="1">
        <f t="shared" si="25"/>
        <v>7.2945596393413634</v>
      </c>
      <c r="J60" s="2">
        <f t="shared" si="26"/>
        <v>7.2033170350472613</v>
      </c>
      <c r="K60" s="7"/>
    </row>
    <row r="61" spans="1:25" x14ac:dyDescent="0.2">
      <c r="A61">
        <v>3</v>
      </c>
      <c r="B61">
        <f>(5134+5170+5193)/3</f>
        <v>5165.666666666667</v>
      </c>
      <c r="G61" s="1">
        <f t="shared" si="23"/>
        <v>7.0046070363744786</v>
      </c>
      <c r="H61" s="1">
        <f t="shared" si="24"/>
        <v>7.1311677205184951</v>
      </c>
      <c r="I61" s="1">
        <f t="shared" si="25"/>
        <v>7.0678873784464873</v>
      </c>
      <c r="J61" s="2">
        <f t="shared" si="26"/>
        <v>6.9794800607807561</v>
      </c>
      <c r="K61" s="7"/>
    </row>
    <row r="62" spans="1:25" x14ac:dyDescent="0.2">
      <c r="A62">
        <v>2</v>
      </c>
      <c r="B62">
        <f>(5003+4963+4964)/3</f>
        <v>4976.666666666667</v>
      </c>
      <c r="G62" s="1">
        <f t="shared" si="23"/>
        <v>6.7483243887895048</v>
      </c>
      <c r="H62" s="1">
        <f t="shared" si="24"/>
        <v>6.8702545052165673</v>
      </c>
      <c r="I62" s="1">
        <f t="shared" si="25"/>
        <v>6.8092894470030361</v>
      </c>
      <c r="J62" s="2">
        <f t="shared" si="26"/>
        <v>6.7241167521105174</v>
      </c>
      <c r="K62" s="7"/>
      <c r="P62">
        <v>174682</v>
      </c>
    </row>
    <row r="63" spans="1:25" x14ac:dyDescent="0.2">
      <c r="A63">
        <v>1</v>
      </c>
      <c r="B63">
        <f>(4392+4437+4436)/3</f>
        <v>4421.666666666667</v>
      </c>
      <c r="G63" s="1">
        <f t="shared" si="23"/>
        <v>5.9957483601669654</v>
      </c>
      <c r="H63" s="1">
        <f t="shared" si="24"/>
        <v>6.1040807777426505</v>
      </c>
      <c r="I63" s="1">
        <f t="shared" si="25"/>
        <v>6.0499145689548079</v>
      </c>
      <c r="J63" s="2">
        <f t="shared" si="26"/>
        <v>5.9742403695074362</v>
      </c>
      <c r="K63" s="7"/>
      <c r="P63" t="s">
        <v>0</v>
      </c>
      <c r="Q63" t="s">
        <v>1</v>
      </c>
      <c r="R63" t="s">
        <v>2</v>
      </c>
      <c r="S63" t="s">
        <v>3</v>
      </c>
      <c r="T63" t="s">
        <v>4</v>
      </c>
      <c r="U63" t="s">
        <v>5</v>
      </c>
      <c r="V63" t="s">
        <v>6</v>
      </c>
      <c r="W63" t="s">
        <v>7</v>
      </c>
      <c r="X63" t="s">
        <v>8</v>
      </c>
      <c r="Y63" t="s">
        <v>9</v>
      </c>
    </row>
    <row r="64" spans="1:25" x14ac:dyDescent="0.2">
      <c r="P64">
        <v>7</v>
      </c>
      <c r="Q64">
        <f>(7086+7063+7082)/3</f>
        <v>7077</v>
      </c>
      <c r="R64">
        <f>(2187+2171+2174)/3</f>
        <v>2177.3333333333335</v>
      </c>
      <c r="S64">
        <f>(2292+2301+2304)/3</f>
        <v>2299</v>
      </c>
      <c r="T64">
        <v>2.97</v>
      </c>
      <c r="U64">
        <v>3.1440000000000001</v>
      </c>
      <c r="V64" s="1">
        <f>Q64/$R$64*$T$64</f>
        <v>9.6534093692590321</v>
      </c>
      <c r="W64" s="1">
        <f>Q64/$S$64*$U$64</f>
        <v>9.6781591996520238</v>
      </c>
      <c r="X64" s="1">
        <f>(W64+V64)/2</f>
        <v>9.665784284455528</v>
      </c>
      <c r="Y64" s="2">
        <f>4*(U64/2+T64/2)*(PI()/4)^((4*U64/2*T64/2)/(U64/2+T64/2)^2)</f>
        <v>9.6057279225001775</v>
      </c>
    </row>
    <row r="65" spans="1:25" x14ac:dyDescent="0.2">
      <c r="H65" s="1">
        <f>J57/I57</f>
        <v>0.98749169123218783</v>
      </c>
      <c r="P65">
        <v>6</v>
      </c>
      <c r="Q65">
        <f>(6889+6870+6848)/3</f>
        <v>6869</v>
      </c>
      <c r="V65" s="1">
        <f t="shared" ref="V65:V70" si="27">Q65/$R$64*$T$64</f>
        <v>9.3696861604409065</v>
      </c>
      <c r="W65" s="1">
        <f t="shared" ref="W65:W70" si="28">Q65/$S$64*$U$64</f>
        <v>9.3937085689430191</v>
      </c>
      <c r="X65" s="1">
        <f t="shared" ref="X65:X70" si="29">(W65+V65)/2</f>
        <v>9.3816973646919628</v>
      </c>
      <c r="Y65" s="2">
        <f t="shared" ref="Y65:Y70" si="30">X65*$W$72</f>
        <v>9.3234061183628256</v>
      </c>
    </row>
    <row r="66" spans="1:25" x14ac:dyDescent="0.2">
      <c r="P66">
        <v>5</v>
      </c>
      <c r="Q66">
        <f>(6568+6532+6580)/3</f>
        <v>6560</v>
      </c>
      <c r="V66" s="1">
        <f t="shared" si="27"/>
        <v>8.9481935088793634</v>
      </c>
      <c r="W66" s="1">
        <f t="shared" si="28"/>
        <v>8.9711352762070469</v>
      </c>
      <c r="X66" s="1">
        <f t="shared" si="29"/>
        <v>8.9596643925432051</v>
      </c>
      <c r="Y66" s="2">
        <f t="shared" si="30"/>
        <v>8.9039953612549336</v>
      </c>
    </row>
    <row r="67" spans="1:25" x14ac:dyDescent="0.2">
      <c r="P67">
        <v>4</v>
      </c>
      <c r="Q67">
        <f>(6252+6249+6258)/3</f>
        <v>6253</v>
      </c>
      <c r="V67" s="1">
        <f t="shared" si="27"/>
        <v>8.5294289650949171</v>
      </c>
      <c r="W67" s="1">
        <f t="shared" si="28"/>
        <v>8.5512970856894306</v>
      </c>
      <c r="X67" s="1">
        <f t="shared" si="29"/>
        <v>8.5403630253921747</v>
      </c>
      <c r="Y67" s="2">
        <f t="shared" si="30"/>
        <v>8.4872992368791316</v>
      </c>
    </row>
    <row r="68" spans="1:25" x14ac:dyDescent="0.2">
      <c r="A68">
        <v>174821</v>
      </c>
      <c r="B68" t="s">
        <v>12</v>
      </c>
      <c r="C68" t="s">
        <v>11</v>
      </c>
      <c r="D68">
        <v>0.8</v>
      </c>
      <c r="E68">
        <f>(582+579+576)/3</f>
        <v>579</v>
      </c>
      <c r="P68">
        <v>3</v>
      </c>
      <c r="Q68">
        <f>(5537+5511+5561)/3</f>
        <v>5536.333333333333</v>
      </c>
      <c r="V68" s="1">
        <f t="shared" si="27"/>
        <v>7.5518570116350272</v>
      </c>
      <c r="W68" s="1">
        <f t="shared" si="28"/>
        <v>7.5712187907785991</v>
      </c>
      <c r="X68" s="1">
        <f t="shared" si="29"/>
        <v>7.5615379012068136</v>
      </c>
      <c r="Y68" s="2">
        <f t="shared" si="30"/>
        <v>7.5145558412135758</v>
      </c>
    </row>
    <row r="69" spans="1:25" x14ac:dyDescent="0.2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  <c r="H69" t="s">
        <v>7</v>
      </c>
      <c r="I69" t="s">
        <v>8</v>
      </c>
      <c r="J69" t="s">
        <v>9</v>
      </c>
      <c r="P69">
        <v>2</v>
      </c>
      <c r="Q69">
        <f>(5350+5355+5335)/3</f>
        <v>5346.666666666667</v>
      </c>
      <c r="V69" s="1">
        <f t="shared" si="27"/>
        <v>7.293141457440294</v>
      </c>
      <c r="W69" s="1">
        <f t="shared" si="28"/>
        <v>7.311839930404525</v>
      </c>
      <c r="X69" s="1">
        <f t="shared" si="29"/>
        <v>7.3024906939224099</v>
      </c>
      <c r="Y69" s="2">
        <f t="shared" si="30"/>
        <v>7.2571181704537162</v>
      </c>
    </row>
    <row r="70" spans="1:25" x14ac:dyDescent="0.2">
      <c r="A70">
        <v>7</v>
      </c>
      <c r="B70" s="1">
        <f>(4955+4978+4972)/3</f>
        <v>4968.333333333333</v>
      </c>
      <c r="C70">
        <f>(1530+1535+1543)/3</f>
        <v>1536</v>
      </c>
      <c r="D70" s="1">
        <f>(1606+1614+1604)/3</f>
        <v>1608</v>
      </c>
      <c r="E70" s="1">
        <f>C70*D68/E68</f>
        <v>2.1222797927461143</v>
      </c>
      <c r="F70" s="1">
        <f>D70*D68/E68</f>
        <v>2.2217616580310882</v>
      </c>
      <c r="G70" s="1">
        <f>B70/$C$70*$E$70</f>
        <v>6.8647092688543472</v>
      </c>
      <c r="H70" s="1">
        <f>B70/$D$70*$F$70</f>
        <v>6.8647092688543472</v>
      </c>
      <c r="I70" s="1">
        <f>(H70+G70)/2</f>
        <v>6.8647092688543472</v>
      </c>
      <c r="J70" s="2">
        <f>4*(F70/2+E70/2)*(PI()/4)^((4*F70/2*E70/2)/(F70/2+E70/2)^2)</f>
        <v>6.8244688729081053</v>
      </c>
      <c r="K70" s="7"/>
      <c r="P70">
        <v>1</v>
      </c>
      <c r="Q70">
        <f>(5108+5120+5102)/3</f>
        <v>5110</v>
      </c>
      <c r="V70" s="1">
        <f t="shared" si="27"/>
        <v>6.9703153704837728</v>
      </c>
      <c r="W70" s="1">
        <f t="shared" si="28"/>
        <v>6.9881861678990873</v>
      </c>
      <c r="X70" s="1">
        <f t="shared" si="29"/>
        <v>6.9792507691914301</v>
      </c>
      <c r="Y70" s="2">
        <f t="shared" si="30"/>
        <v>6.9358866304897422</v>
      </c>
    </row>
    <row r="71" spans="1:25" x14ac:dyDescent="0.2">
      <c r="A71">
        <v>6</v>
      </c>
      <c r="B71">
        <f>(4817+4796+4817)/3</f>
        <v>4810</v>
      </c>
      <c r="G71" s="1">
        <f t="shared" ref="G71:G76" si="31">B71/$C$70*$E$70</f>
        <v>6.6459412780656315</v>
      </c>
      <c r="H71" s="1">
        <f t="shared" ref="H71:H76" si="32">B71/$D$70*$F$70</f>
        <v>6.6459412780656306</v>
      </c>
      <c r="I71" s="1">
        <f t="shared" ref="I71:I76" si="33">(H71+G71)/2</f>
        <v>6.6459412780656315</v>
      </c>
      <c r="J71" s="2">
        <f t="shared" ref="J71:J76" si="34">I71*$H$78</f>
        <v>6.6069832831978506</v>
      </c>
      <c r="K71" s="7"/>
    </row>
    <row r="72" spans="1:25" x14ac:dyDescent="0.2">
      <c r="A72">
        <v>5</v>
      </c>
      <c r="B72">
        <f>(4682+4659+4690)/3</f>
        <v>4677</v>
      </c>
      <c r="G72" s="1">
        <f t="shared" si="31"/>
        <v>6.4621761658031103</v>
      </c>
      <c r="H72" s="1">
        <f t="shared" si="32"/>
        <v>6.4621761658031094</v>
      </c>
      <c r="I72" s="1">
        <f t="shared" si="33"/>
        <v>6.4621761658031094</v>
      </c>
      <c r="J72" s="2">
        <f t="shared" si="34"/>
        <v>6.4242953878412363</v>
      </c>
      <c r="K72" s="7"/>
      <c r="W72" s="1">
        <f>Y64/X64</f>
        <v>0.99378670574596484</v>
      </c>
    </row>
    <row r="73" spans="1:25" x14ac:dyDescent="0.2">
      <c r="A73">
        <v>4</v>
      </c>
      <c r="B73">
        <f>(4516+4505+4527)/3</f>
        <v>4516</v>
      </c>
      <c r="G73" s="1">
        <f t="shared" si="31"/>
        <v>6.2397236614853204</v>
      </c>
      <c r="H73" s="1">
        <f t="shared" si="32"/>
        <v>6.2397236614853204</v>
      </c>
      <c r="I73" s="1">
        <f t="shared" si="33"/>
        <v>6.2397236614853204</v>
      </c>
      <c r="J73" s="2">
        <f t="shared" si="34"/>
        <v>6.2031468829358616</v>
      </c>
      <c r="K73" s="7"/>
    </row>
    <row r="74" spans="1:25" x14ac:dyDescent="0.2">
      <c r="A74">
        <v>3</v>
      </c>
      <c r="B74">
        <f>(4122+4110+4134)/3</f>
        <v>4122</v>
      </c>
      <c r="G74" s="1">
        <f t="shared" si="31"/>
        <v>5.6953367875647674</v>
      </c>
      <c r="H74" s="1">
        <f t="shared" si="32"/>
        <v>5.6953367875647665</v>
      </c>
      <c r="I74" s="1">
        <f t="shared" si="33"/>
        <v>5.6953367875647665</v>
      </c>
      <c r="J74" s="2">
        <f t="shared" si="34"/>
        <v>5.6619511628568677</v>
      </c>
      <c r="K74" s="7"/>
    </row>
    <row r="75" spans="1:25" x14ac:dyDescent="0.2">
      <c r="A75">
        <v>2</v>
      </c>
      <c r="B75">
        <f>(3950+3945+3964)/3</f>
        <v>3953</v>
      </c>
      <c r="G75" s="1">
        <f t="shared" si="31"/>
        <v>5.4618307426597594</v>
      </c>
      <c r="H75" s="1">
        <f t="shared" si="32"/>
        <v>5.4618307426597585</v>
      </c>
      <c r="I75" s="1">
        <f t="shared" si="33"/>
        <v>5.4618307426597585</v>
      </c>
      <c r="J75" s="2">
        <f t="shared" si="34"/>
        <v>5.4298139123661331</v>
      </c>
      <c r="K75" s="7"/>
      <c r="P75">
        <v>174714</v>
      </c>
      <c r="Q75" t="s">
        <v>10</v>
      </c>
      <c r="R75" t="s">
        <v>11</v>
      </c>
      <c r="S75">
        <v>0.8</v>
      </c>
      <c r="T75">
        <f>(579+579+576)/3</f>
        <v>578</v>
      </c>
    </row>
    <row r="76" spans="1:25" x14ac:dyDescent="0.2">
      <c r="A76">
        <v>1</v>
      </c>
      <c r="B76">
        <f>(3060+3054+3065)/3</f>
        <v>3059.6666666666665</v>
      </c>
      <c r="G76" s="1">
        <f t="shared" si="31"/>
        <v>4.2275187104202647</v>
      </c>
      <c r="H76" s="1">
        <f t="shared" si="32"/>
        <v>4.2275187104202647</v>
      </c>
      <c r="I76" s="1">
        <f t="shared" si="33"/>
        <v>4.2275187104202647</v>
      </c>
      <c r="J76" s="2">
        <f t="shared" si="34"/>
        <v>4.202737322000905</v>
      </c>
      <c r="K76" s="7"/>
      <c r="P76" t="s">
        <v>0</v>
      </c>
      <c r="Q76" t="s">
        <v>1</v>
      </c>
      <c r="R76" t="s">
        <v>2</v>
      </c>
      <c r="S76" t="s">
        <v>3</v>
      </c>
      <c r="T76" t="s">
        <v>4</v>
      </c>
      <c r="U76" t="s">
        <v>5</v>
      </c>
      <c r="V76" t="s">
        <v>6</v>
      </c>
      <c r="W76" t="s">
        <v>7</v>
      </c>
      <c r="X76" t="s">
        <v>8</v>
      </c>
      <c r="Y76" t="s">
        <v>9</v>
      </c>
    </row>
    <row r="77" spans="1:25" x14ac:dyDescent="0.2">
      <c r="P77">
        <v>5</v>
      </c>
      <c r="Q77" s="1">
        <f>(5196+5217+5189)/3</f>
        <v>5200.666666666667</v>
      </c>
      <c r="R77">
        <f>(1585+1581+1574)/3</f>
        <v>1580</v>
      </c>
      <c r="S77" s="1">
        <f>(1708+1716+1709)/3</f>
        <v>1711</v>
      </c>
      <c r="T77" s="1">
        <f>R77*S75/T75</f>
        <v>2.1868512110726646</v>
      </c>
      <c r="U77" s="1">
        <f>S77*S75/T75</f>
        <v>2.3681660899653982</v>
      </c>
      <c r="V77" s="1">
        <f>Q77/$R$77*$T$77</f>
        <v>7.1981545559400244</v>
      </c>
      <c r="W77" s="1">
        <f>Q77/$S$77*$U$77</f>
        <v>7.1981545559400244</v>
      </c>
      <c r="X77" s="1">
        <f>(W77+V77)/2</f>
        <v>7.1981545559400244</v>
      </c>
      <c r="Y77" s="2">
        <f>4*(U77/2+T77/2)*(PI()/4)^((4*U77/2*T77/2)/(U77/2+T77/2)^2)</f>
        <v>7.1577435766834689</v>
      </c>
    </row>
    <row r="78" spans="1:25" x14ac:dyDescent="0.2">
      <c r="H78" s="1">
        <f>J70/I70</f>
        <v>0.99413807717556002</v>
      </c>
      <c r="P78">
        <v>4</v>
      </c>
      <c r="Q78">
        <f>(4990+4982+4979)/3</f>
        <v>4983.666666666667</v>
      </c>
      <c r="V78" s="1">
        <f>Q78/$R$77*$T$77</f>
        <v>6.8978085351787781</v>
      </c>
      <c r="W78" s="1">
        <f>Q78/$S$77*$U$77</f>
        <v>6.8978085351787781</v>
      </c>
      <c r="X78" s="1">
        <f>(W78+V78)/2</f>
        <v>6.8978085351787781</v>
      </c>
      <c r="Y78" s="2">
        <f>X78*$W$83</f>
        <v>6.8590837209969582</v>
      </c>
    </row>
    <row r="79" spans="1:25" x14ac:dyDescent="0.2">
      <c r="P79">
        <v>3</v>
      </c>
      <c r="Q79">
        <f>(4800+4789+4794)/3</f>
        <v>4794.333333333333</v>
      </c>
      <c r="V79" s="1">
        <f>Q79/$R$77*$T$77</f>
        <v>6.6357554786620527</v>
      </c>
      <c r="W79" s="1">
        <f>Q79/$S$77*$U$77</f>
        <v>6.6357554786620536</v>
      </c>
      <c r="X79" s="1">
        <f>(W79+V79)/2</f>
        <v>6.6357554786620536</v>
      </c>
      <c r="Y79" s="2">
        <f>X79*$W$83</f>
        <v>6.5985018499832284</v>
      </c>
    </row>
    <row r="80" spans="1:25" x14ac:dyDescent="0.2">
      <c r="P80">
        <v>2</v>
      </c>
      <c r="Q80">
        <f>(4535+4523+4525)/3</f>
        <v>4527.666666666667</v>
      </c>
      <c r="V80" s="1">
        <f>Q80/$R$77*$T$77</f>
        <v>6.2666666666666675</v>
      </c>
      <c r="W80" s="1">
        <f>Q80/$S$77*$U$77</f>
        <v>6.2666666666666684</v>
      </c>
      <c r="X80" s="1">
        <f>(W80+V80)/2</f>
        <v>6.2666666666666675</v>
      </c>
      <c r="Y80" s="2">
        <f>X80*$W$83</f>
        <v>6.2314851302455807</v>
      </c>
    </row>
    <row r="81" spans="1:25" x14ac:dyDescent="0.2">
      <c r="A81">
        <v>174880</v>
      </c>
      <c r="B81" t="s">
        <v>12</v>
      </c>
      <c r="C81" t="s">
        <v>11</v>
      </c>
      <c r="D81">
        <v>0.8</v>
      </c>
      <c r="E81">
        <f>(576+579+576)/3</f>
        <v>577</v>
      </c>
      <c r="P81">
        <v>1</v>
      </c>
      <c r="Q81">
        <f>(4282+4258+4270)/3</f>
        <v>4270</v>
      </c>
      <c r="V81" s="1">
        <f>Q81/$R$77*$T$77</f>
        <v>5.9100346020761254</v>
      </c>
      <c r="W81" s="1">
        <f>Q81/$S$77*$U$77</f>
        <v>5.9100346020761254</v>
      </c>
      <c r="X81" s="1">
        <f>(W81+V81)/2</f>
        <v>5.9100346020761254</v>
      </c>
      <c r="Y81" s="2">
        <f>X81*$W$83</f>
        <v>5.8768552247990788</v>
      </c>
    </row>
    <row r="82" spans="1:25" x14ac:dyDescent="0.2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7</v>
      </c>
      <c r="I82" t="s">
        <v>8</v>
      </c>
      <c r="J82" t="s">
        <v>9</v>
      </c>
    </row>
    <row r="83" spans="1:25" x14ac:dyDescent="0.2">
      <c r="A83">
        <v>6</v>
      </c>
      <c r="B83" s="1">
        <f>(5361+5356+5370)/3</f>
        <v>5362.333333333333</v>
      </c>
      <c r="C83">
        <f>(1672+1672+1675)/3</f>
        <v>1673</v>
      </c>
      <c r="D83" s="1">
        <f>(1721+1715+1722)/3</f>
        <v>1719.3333333333333</v>
      </c>
      <c r="E83" s="1">
        <f>C83*D81/E81</f>
        <v>2.3195840554592722</v>
      </c>
      <c r="F83" s="1">
        <f>D83*D81/E81</f>
        <v>2.3838243789716929</v>
      </c>
      <c r="G83" s="1">
        <f t="shared" ref="G83:G88" si="35">B83/$C$83*$E$83</f>
        <v>7.4347775852108597</v>
      </c>
      <c r="H83" s="1">
        <f t="shared" ref="H83:H88" si="36">B83/$D$83*$F$83</f>
        <v>7.4347775852108615</v>
      </c>
      <c r="I83" s="1">
        <f t="shared" ref="I83:I88" si="37">(H83+G83)/2</f>
        <v>7.4347775852108606</v>
      </c>
      <c r="J83" s="2">
        <f>4*(F83/2+E83/2)*(PI()/4)^((4*F83/2*E83/2)/(F83/2+E83/2)^2)</f>
        <v>7.3884296318363596</v>
      </c>
      <c r="K83" s="7"/>
      <c r="W83" s="1">
        <f>Y77/X77</f>
        <v>0.99438592503918832</v>
      </c>
    </row>
    <row r="84" spans="1:25" x14ac:dyDescent="0.2">
      <c r="A84">
        <v>5</v>
      </c>
      <c r="B84">
        <f>(5195+5185+5178)/3</f>
        <v>5186</v>
      </c>
      <c r="G84" s="1">
        <f t="shared" si="35"/>
        <v>7.1902946273830164</v>
      </c>
      <c r="H84" s="1">
        <f t="shared" si="36"/>
        <v>7.1902946273830164</v>
      </c>
      <c r="I84" s="1">
        <f t="shared" si="37"/>
        <v>7.1902946273830164</v>
      </c>
      <c r="J84" s="2">
        <f>I84*$H$90</f>
        <v>7.1454707659669356</v>
      </c>
      <c r="K84" s="7"/>
    </row>
    <row r="85" spans="1:25" x14ac:dyDescent="0.2">
      <c r="A85">
        <v>4</v>
      </c>
      <c r="B85">
        <f>(4973+4970+4942)/3</f>
        <v>4961.666666666667</v>
      </c>
      <c r="G85" s="1">
        <f t="shared" si="35"/>
        <v>6.8792605430387068</v>
      </c>
      <c r="H85" s="1">
        <f t="shared" si="36"/>
        <v>6.8792605430387068</v>
      </c>
      <c r="I85" s="1">
        <f t="shared" si="37"/>
        <v>6.8792605430387068</v>
      </c>
      <c r="J85" s="2">
        <f>I85*$H$90</f>
        <v>6.8363756492748324</v>
      </c>
      <c r="K85" s="7"/>
    </row>
    <row r="86" spans="1:25" x14ac:dyDescent="0.2">
      <c r="A86">
        <v>3</v>
      </c>
      <c r="B86">
        <f>(4571+4586+4581)/3</f>
        <v>4579.333333333333</v>
      </c>
      <c r="G86" s="1">
        <f t="shared" si="35"/>
        <v>6.3491623339110337</v>
      </c>
      <c r="H86" s="1">
        <f t="shared" si="36"/>
        <v>6.3491623339110337</v>
      </c>
      <c r="I86" s="1">
        <f t="shared" si="37"/>
        <v>6.3491623339110337</v>
      </c>
      <c r="J86" s="2">
        <f>I86*$H$90</f>
        <v>6.30958204029141</v>
      </c>
      <c r="K86" s="7"/>
      <c r="P86">
        <v>174760</v>
      </c>
      <c r="Q86" t="s">
        <v>10</v>
      </c>
      <c r="R86" t="s">
        <v>11</v>
      </c>
      <c r="S86">
        <v>0.8</v>
      </c>
      <c r="T86">
        <f>(568+576+580)/3</f>
        <v>574.66666666666663</v>
      </c>
    </row>
    <row r="87" spans="1:25" x14ac:dyDescent="0.2">
      <c r="A87">
        <v>2</v>
      </c>
      <c r="B87">
        <f>(4222+4253+4224)/3</f>
        <v>4233</v>
      </c>
      <c r="G87" s="1">
        <f t="shared" si="35"/>
        <v>5.8689774696707104</v>
      </c>
      <c r="H87" s="1">
        <f t="shared" si="36"/>
        <v>5.8689774696707113</v>
      </c>
      <c r="I87" s="1">
        <f t="shared" si="37"/>
        <v>5.8689774696707104</v>
      </c>
      <c r="J87" s="2">
        <f>I87*$H$90</f>
        <v>5.8323906194249977</v>
      </c>
      <c r="K87" s="7"/>
      <c r="P87" t="s">
        <v>0</v>
      </c>
      <c r="Q87" t="s">
        <v>1</v>
      </c>
      <c r="R87" t="s">
        <v>2</v>
      </c>
      <c r="S87" t="s">
        <v>3</v>
      </c>
      <c r="T87" t="s">
        <v>4</v>
      </c>
      <c r="U87" t="s">
        <v>5</v>
      </c>
      <c r="V87" t="s">
        <v>6</v>
      </c>
      <c r="W87" t="s">
        <v>7</v>
      </c>
      <c r="X87" t="s">
        <v>8</v>
      </c>
      <c r="Y87" t="s">
        <v>9</v>
      </c>
    </row>
    <row r="88" spans="1:25" x14ac:dyDescent="0.2">
      <c r="A88">
        <v>1</v>
      </c>
      <c r="B88">
        <f>(3888+3937+3964+3904+3912)/5</f>
        <v>3921</v>
      </c>
      <c r="G88" s="1">
        <f t="shared" si="35"/>
        <v>5.436395147313692</v>
      </c>
      <c r="H88" s="1">
        <f t="shared" si="36"/>
        <v>5.436395147313692</v>
      </c>
      <c r="I88" s="1">
        <f t="shared" si="37"/>
        <v>5.436395147313692</v>
      </c>
      <c r="J88" s="2">
        <f>I88*$H$90</f>
        <v>5.4025049890775847</v>
      </c>
      <c r="K88" s="7"/>
      <c r="P88">
        <v>5</v>
      </c>
      <c r="Q88" s="1">
        <f>(6449+6401+6406)/3</f>
        <v>6418.666666666667</v>
      </c>
      <c r="R88">
        <f>(1889+1882+1884)/3</f>
        <v>1885</v>
      </c>
      <c r="S88" s="1">
        <f>(2140+2130+2143)/3</f>
        <v>2137.6666666666665</v>
      </c>
      <c r="T88" s="1">
        <f>R88*S86/T86</f>
        <v>2.6241299303944317</v>
      </c>
      <c r="U88" s="1">
        <f>S88*S86/T86</f>
        <v>2.9758700696055684</v>
      </c>
      <c r="V88" s="1">
        <f>Q88/$R$88*$T$88</f>
        <v>8.9354988399071935</v>
      </c>
      <c r="W88" s="1">
        <f>Q88/$S$88*$U$88</f>
        <v>8.9354988399071935</v>
      </c>
      <c r="X88" s="1">
        <f>(W88+V88)/2</f>
        <v>8.9354988399071935</v>
      </c>
      <c r="Y88" s="2">
        <f>4*(U88/2+T88/2)*(PI()/4)^((4*U88/2*T88/2)/(U88/2+T88/2)^2)</f>
        <v>8.8048466057454284</v>
      </c>
    </row>
    <row r="89" spans="1:25" x14ac:dyDescent="0.2">
      <c r="P89">
        <v>4</v>
      </c>
      <c r="Q89">
        <f>(6327+6331+6338)/3</f>
        <v>6332</v>
      </c>
      <c r="V89" s="1">
        <f>Q89/$R$88*$T$88</f>
        <v>8.8148491879350352</v>
      </c>
      <c r="W89" s="1">
        <f>Q89/$S$88*$U$88</f>
        <v>8.8148491879350352</v>
      </c>
      <c r="X89" s="1">
        <f>(W89+V89)/2</f>
        <v>8.8148491879350352</v>
      </c>
      <c r="Y89" s="2">
        <f>X89*$W$94</f>
        <v>8.6859610574750796</v>
      </c>
    </row>
    <row r="90" spans="1:25" x14ac:dyDescent="0.2">
      <c r="H90" s="1">
        <f>J83/I83</f>
        <v>0.9937660605386911</v>
      </c>
      <c r="P90">
        <v>3</v>
      </c>
      <c r="Q90">
        <f>(6175+6132+6163)/3</f>
        <v>6156.666666666667</v>
      </c>
      <c r="V90" s="1">
        <f>Q90/$R$88*$T$88</f>
        <v>8.5707656612529011</v>
      </c>
      <c r="W90" s="1">
        <f>Q90/$S$88*$U$88</f>
        <v>8.5707656612529011</v>
      </c>
      <c r="X90" s="1">
        <f>(W90+V90)/2</f>
        <v>8.5707656612529011</v>
      </c>
      <c r="Y90" s="2">
        <f>X90*$W$94</f>
        <v>8.4454464482819933</v>
      </c>
    </row>
    <row r="91" spans="1:25" x14ac:dyDescent="0.2">
      <c r="P91">
        <v>2</v>
      </c>
      <c r="Q91">
        <f>(5920+5905+5944)/3</f>
        <v>5923</v>
      </c>
      <c r="V91" s="1">
        <f>Q91/$R$88*$T$88</f>
        <v>8.2454756380510439</v>
      </c>
      <c r="W91" s="1">
        <f>Q91/$S$88*$U$88</f>
        <v>8.2454756380510457</v>
      </c>
      <c r="X91" s="1">
        <f>(W91+V91)/2</f>
        <v>8.2454756380510439</v>
      </c>
      <c r="Y91" s="2">
        <f>X91*$W$94</f>
        <v>8.1249127200607862</v>
      </c>
    </row>
    <row r="92" spans="1:25" x14ac:dyDescent="0.2">
      <c r="P92">
        <v>1</v>
      </c>
      <c r="Q92">
        <f>(5436+5420+5417)/3</f>
        <v>5424.333333333333</v>
      </c>
      <c r="V92" s="1">
        <f>Q92/$R$88*$T$88</f>
        <v>7.5512761020881678</v>
      </c>
      <c r="W92" s="1">
        <f>Q92/$S$88*$U$88</f>
        <v>7.5512761020881669</v>
      </c>
      <c r="X92" s="1">
        <f>(W92+V92)/2</f>
        <v>7.5512761020881669</v>
      </c>
      <c r="Y92" s="2">
        <f>X92*$W$94</f>
        <v>7.4408635653975557</v>
      </c>
    </row>
    <row r="93" spans="1:25" x14ac:dyDescent="0.2">
      <c r="A93">
        <v>174901</v>
      </c>
    </row>
    <row r="94" spans="1:25" x14ac:dyDescent="0.2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9</v>
      </c>
      <c r="W94" s="1">
        <f>Y88/X88</f>
        <v>0.98537829431768775</v>
      </c>
    </row>
    <row r="95" spans="1:25" x14ac:dyDescent="0.2">
      <c r="A95">
        <v>5</v>
      </c>
      <c r="B95">
        <f>(4956+4977+4980)/3</f>
        <v>4971</v>
      </c>
      <c r="C95">
        <f>(1531+1534+1526)/3</f>
        <v>1530.3333333333333</v>
      </c>
      <c r="D95">
        <f>(1605+1614+1621)/3</f>
        <v>1613.3333333333333</v>
      </c>
      <c r="E95">
        <v>2.153</v>
      </c>
      <c r="F95">
        <v>2.2519999999999998</v>
      </c>
      <c r="G95" s="1">
        <f>B95/$C$95*$E$95</f>
        <v>6.9936155521672845</v>
      </c>
      <c r="H95" s="1">
        <f>B95/$D$95*$F$95</f>
        <v>6.9388586776859498</v>
      </c>
      <c r="I95" s="1">
        <f>(H95+G95)/2</f>
        <v>6.9662371149266171</v>
      </c>
      <c r="J95" s="2">
        <f>4*(F95/2+E95/2)*(PI()/4)^((4*F95/2*E95/2)/(F95/2+E95/2)^2)</f>
        <v>6.9202021333859314</v>
      </c>
      <c r="K95" s="7"/>
    </row>
    <row r="96" spans="1:25" x14ac:dyDescent="0.2">
      <c r="A96">
        <v>4</v>
      </c>
      <c r="B96">
        <f>(4675+4649+4652)/3</f>
        <v>4658.666666666667</v>
      </c>
      <c r="G96" s="1">
        <f>B96/$C$95*$E$95</f>
        <v>6.5541990851666307</v>
      </c>
      <c r="H96" s="1">
        <f>B96/$D$95*$F$95</f>
        <v>6.502882644628099</v>
      </c>
      <c r="I96" s="1">
        <f>(H96+G96)/2</f>
        <v>6.5285408648973648</v>
      </c>
      <c r="J96" s="2">
        <f>I96*$H$101</f>
        <v>6.4853983112855742</v>
      </c>
      <c r="K96" s="7"/>
    </row>
    <row r="97" spans="1:25" x14ac:dyDescent="0.2">
      <c r="A97">
        <v>3</v>
      </c>
      <c r="B97">
        <f>(3925+3909+3912)/3</f>
        <v>3915.3333333333335</v>
      </c>
      <c r="G97" s="1">
        <f>B97/$C$95*$E$95</f>
        <v>5.5084160313657167</v>
      </c>
      <c r="H97" s="1">
        <f>B97/$D$95*$F$95</f>
        <v>5.4652876033057849</v>
      </c>
      <c r="I97" s="1">
        <f>(H97+G97)/2</f>
        <v>5.4868518173357508</v>
      </c>
      <c r="J97" s="2">
        <f>I97*$H$101</f>
        <v>5.4505930569805638</v>
      </c>
      <c r="K97" s="7"/>
      <c r="P97">
        <v>174774</v>
      </c>
    </row>
    <row r="98" spans="1:25" x14ac:dyDescent="0.2">
      <c r="A98">
        <v>2</v>
      </c>
      <c r="B98">
        <f>(3520+3546+3562)/3</f>
        <v>3542.6666666666665</v>
      </c>
      <c r="G98" s="1">
        <f>B98/$C$95*$E$95</f>
        <v>4.9841176214332386</v>
      </c>
      <c r="H98" s="1">
        <f>B98/$D$95*$F$95</f>
        <v>4.9450942148760326</v>
      </c>
      <c r="I98" s="1">
        <f>(H98+G98)/2</f>
        <v>4.9646059181546356</v>
      </c>
      <c r="J98" s="2">
        <f>I98*$H$101</f>
        <v>4.9317983151361675</v>
      </c>
      <c r="K98" s="7"/>
      <c r="P98" t="s">
        <v>0</v>
      </c>
      <c r="Q98" t="s">
        <v>1</v>
      </c>
      <c r="R98" t="s">
        <v>2</v>
      </c>
      <c r="S98" t="s">
        <v>3</v>
      </c>
      <c r="T98" t="s">
        <v>4</v>
      </c>
      <c r="U98" t="s">
        <v>5</v>
      </c>
      <c r="V98" t="s">
        <v>6</v>
      </c>
      <c r="W98" t="s">
        <v>7</v>
      </c>
      <c r="X98" t="s">
        <v>8</v>
      </c>
      <c r="Y98" t="s">
        <v>9</v>
      </c>
    </row>
    <row r="99" spans="1:25" x14ac:dyDescent="0.2">
      <c r="A99">
        <v>1</v>
      </c>
      <c r="B99">
        <f>(3213+3206+3186)/3</f>
        <v>3201.6666666666665</v>
      </c>
      <c r="G99" s="1">
        <f>B99/$C$95*$E$95</f>
        <v>4.5043705075147029</v>
      </c>
      <c r="H99" s="1">
        <f>B99/$D$95*$F$95</f>
        <v>4.4691033057851239</v>
      </c>
      <c r="I99" s="1">
        <f>(H99+G99)/2</f>
        <v>4.486736906649913</v>
      </c>
      <c r="J99" s="2">
        <f>I99*$H$101</f>
        <v>4.4570872052016268</v>
      </c>
      <c r="K99" s="7"/>
      <c r="P99">
        <v>5</v>
      </c>
      <c r="Q99">
        <f>(5593+5583+5585)/3</f>
        <v>5587</v>
      </c>
      <c r="R99">
        <f>(1702+1699+1703)/3</f>
        <v>1701.3333333333333</v>
      </c>
      <c r="S99">
        <f>(1825+1822+1823)/3</f>
        <v>1823.3333333333333</v>
      </c>
      <c r="T99">
        <v>2.3679999999999999</v>
      </c>
      <c r="U99">
        <v>2.5139999999999998</v>
      </c>
      <c r="V99" s="1">
        <f>Q99/$R$99*$T$99</f>
        <v>7.776263322884013</v>
      </c>
      <c r="W99" s="1">
        <f>Q99/$S$99*$U$99</f>
        <v>7.7033188299817175</v>
      </c>
      <c r="X99" s="1">
        <f>(W99+V99)/2</f>
        <v>7.7397910764328657</v>
      </c>
      <c r="Y99" s="2">
        <f>4*(U99/2+T99/2)*(PI()/4)^((4*U99/2*T99/2)/(U99/2+T99/2)^2)</f>
        <v>7.670284611275024</v>
      </c>
    </row>
    <row r="100" spans="1:25" x14ac:dyDescent="0.2">
      <c r="P100">
        <v>4</v>
      </c>
      <c r="Q100">
        <f>(5127+5141+5096)/3</f>
        <v>5121.333333333333</v>
      </c>
      <c r="V100" s="1">
        <f>Q100/$R$99*$T$99</f>
        <v>7.1281253918495295</v>
      </c>
      <c r="W100" s="1">
        <f>Q100/$S$99*$U$99</f>
        <v>7.0612606946983547</v>
      </c>
      <c r="X100" s="1">
        <f>(W100+V100)/2</f>
        <v>7.0946930432739421</v>
      </c>
      <c r="Y100" s="2">
        <f>X100*$W$105</f>
        <v>7.0309798202750118</v>
      </c>
    </row>
    <row r="101" spans="1:25" x14ac:dyDescent="0.2">
      <c r="H101" s="1">
        <f>J95/I95</f>
        <v>0.99339170045733205</v>
      </c>
      <c r="P101">
        <v>3</v>
      </c>
      <c r="Q101">
        <f>(4018+4047+4005)/3</f>
        <v>4023.3333333333335</v>
      </c>
      <c r="V101" s="1">
        <f>Q101/$R$99*$T$99</f>
        <v>5.5998746081504711</v>
      </c>
      <c r="W101" s="1">
        <f>Q101/$S$99*$U$99</f>
        <v>5.5473455210237663</v>
      </c>
      <c r="X101" s="1">
        <f>(W101+V101)/2</f>
        <v>5.5736100645871183</v>
      </c>
      <c r="Y101" s="2">
        <f>X101*$W$105</f>
        <v>5.5235567840874378</v>
      </c>
    </row>
    <row r="102" spans="1:25" x14ac:dyDescent="0.2">
      <c r="P102">
        <v>2</v>
      </c>
      <c r="Q102">
        <f>(3770+3801+3780)/3</f>
        <v>3783.6666666666665</v>
      </c>
      <c r="V102" s="1">
        <f>Q102/$R$99*$T$99</f>
        <v>5.2662946708463947</v>
      </c>
      <c r="W102" s="1">
        <f>Q102/$S$99*$U$99</f>
        <v>5.216894698354662</v>
      </c>
      <c r="X102" s="1">
        <f>(W102+V102)/2</f>
        <v>5.2415946846005284</v>
      </c>
      <c r="Y102" s="2">
        <f>X102*$W$105</f>
        <v>5.1945230369657418</v>
      </c>
    </row>
    <row r="103" spans="1:25" x14ac:dyDescent="0.2">
      <c r="P103">
        <v>1</v>
      </c>
      <c r="Q103">
        <f>(3430+3450+3434)/3</f>
        <v>3438</v>
      </c>
      <c r="V103" s="1">
        <f>Q103/$R$99*$T$99</f>
        <v>4.7851786833855794</v>
      </c>
      <c r="W103" s="1">
        <f>Q103/$S$99*$U$99</f>
        <v>4.7402917733089582</v>
      </c>
      <c r="X103" s="1">
        <f>(W103+V103)/2</f>
        <v>4.7627352283472693</v>
      </c>
      <c r="Y103" s="2">
        <f>X103*$W$105</f>
        <v>4.7199639329807654</v>
      </c>
    </row>
    <row r="104" spans="1:25" x14ac:dyDescent="0.2">
      <c r="A104">
        <v>174905</v>
      </c>
      <c r="B104" t="s">
        <v>12</v>
      </c>
      <c r="C104" t="s">
        <v>11</v>
      </c>
      <c r="D104">
        <v>0.8</v>
      </c>
      <c r="E104">
        <f>(582+576+582)/3</f>
        <v>580</v>
      </c>
    </row>
    <row r="105" spans="1:25" x14ac:dyDescent="0.2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7</v>
      </c>
      <c r="I105" t="s">
        <v>8</v>
      </c>
      <c r="J105" t="s">
        <v>9</v>
      </c>
      <c r="W105" s="1">
        <f>Y99/X99</f>
        <v>0.99101959413743301</v>
      </c>
    </row>
    <row r="106" spans="1:25" x14ac:dyDescent="0.2">
      <c r="A106">
        <v>9</v>
      </c>
      <c r="B106" s="1">
        <f>(4880+4896+4896)/3</f>
        <v>4890.666666666667</v>
      </c>
      <c r="C106">
        <f>(1455+1458+1460)/3</f>
        <v>1457.6666666666667</v>
      </c>
      <c r="D106" s="1">
        <f>(1624+1630+1627)/3</f>
        <v>1627</v>
      </c>
      <c r="E106" s="1">
        <f>C106*D104/E104</f>
        <v>2.0105747126436784</v>
      </c>
      <c r="F106" s="1">
        <f>D106*D104/E104</f>
        <v>2.2441379310344831</v>
      </c>
      <c r="G106" s="1">
        <f>B106/$C$106*$E$106</f>
        <v>6.7457471264367825</v>
      </c>
      <c r="H106" s="1">
        <f>B106/$D$106*$F$106</f>
        <v>6.7457471264367834</v>
      </c>
      <c r="I106" s="1">
        <f>(H106+G106)/2</f>
        <v>6.7457471264367825</v>
      </c>
      <c r="J106" s="2">
        <f>4*(F106/2+E106/2)*(PI()/4)^((4*F106/2*E106/2)/(F106/2+E106/2)^2)</f>
        <v>6.6881538616749214</v>
      </c>
      <c r="K106" s="7"/>
    </row>
    <row r="107" spans="1:25" x14ac:dyDescent="0.2">
      <c r="A107">
        <v>8</v>
      </c>
      <c r="B107">
        <f>(4790+4797+4798)/3</f>
        <v>4795</v>
      </c>
      <c r="G107" s="1">
        <f t="shared" ref="G107:G114" si="38">B107/$C$106*$E$106</f>
        <v>6.6137931034482769</v>
      </c>
      <c r="H107" s="1">
        <f t="shared" ref="H107:H114" si="39">B107/$D$106*$F$106</f>
        <v>6.6137931034482769</v>
      </c>
      <c r="I107" s="1">
        <f t="shared" ref="I107:I114" si="40">(H107+G107)/2</f>
        <v>6.6137931034482769</v>
      </c>
      <c r="J107" s="2">
        <f>I107*$H$116</f>
        <v>6.5573264244952121</v>
      </c>
      <c r="K107" s="7"/>
    </row>
    <row r="108" spans="1:25" x14ac:dyDescent="0.2">
      <c r="A108">
        <v>7</v>
      </c>
      <c r="B108">
        <f>(4671+4655+4658)/3</f>
        <v>4661.333333333333</v>
      </c>
      <c r="G108" s="1">
        <f t="shared" si="38"/>
        <v>6.429425287356322</v>
      </c>
      <c r="H108" s="1">
        <f t="shared" si="39"/>
        <v>6.429425287356322</v>
      </c>
      <c r="I108" s="1">
        <f t="shared" si="40"/>
        <v>6.429425287356322</v>
      </c>
      <c r="J108" s="2">
        <f t="shared" ref="J108:J114" si="41">I108*$H$116</f>
        <v>6.3745326882266964</v>
      </c>
      <c r="K108" s="7"/>
      <c r="P108">
        <v>174781</v>
      </c>
      <c r="Q108" t="s">
        <v>10</v>
      </c>
      <c r="R108" t="s">
        <v>11</v>
      </c>
      <c r="S108">
        <v>0.8</v>
      </c>
      <c r="T108">
        <f>(582+579+585)/3</f>
        <v>582</v>
      </c>
    </row>
    <row r="109" spans="1:25" x14ac:dyDescent="0.2">
      <c r="A109">
        <v>6</v>
      </c>
      <c r="B109">
        <f>(4541+4519+4548)/3</f>
        <v>4536</v>
      </c>
      <c r="G109" s="1">
        <f t="shared" si="38"/>
        <v>6.2565517241379318</v>
      </c>
      <c r="H109" s="1">
        <f t="shared" si="39"/>
        <v>6.2565517241379318</v>
      </c>
      <c r="I109" s="1">
        <f t="shared" si="40"/>
        <v>6.2565517241379318</v>
      </c>
      <c r="J109" s="2">
        <f t="shared" si="41"/>
        <v>6.2031350701794121</v>
      </c>
      <c r="K109" s="7"/>
      <c r="P109" t="s">
        <v>0</v>
      </c>
      <c r="Q109" t="s">
        <v>1</v>
      </c>
      <c r="R109" t="s">
        <v>2</v>
      </c>
      <c r="S109" t="s">
        <v>3</v>
      </c>
      <c r="T109" t="s">
        <v>4</v>
      </c>
      <c r="U109" t="s">
        <v>5</v>
      </c>
      <c r="V109" t="s">
        <v>6</v>
      </c>
      <c r="W109" t="s">
        <v>7</v>
      </c>
      <c r="X109" t="s">
        <v>8</v>
      </c>
      <c r="Y109" t="s">
        <v>9</v>
      </c>
    </row>
    <row r="110" spans="1:25" x14ac:dyDescent="0.2">
      <c r="A110">
        <v>5</v>
      </c>
      <c r="B110">
        <f>(4306+4304+4307)/3</f>
        <v>4305.666666666667</v>
      </c>
      <c r="G110" s="1">
        <f t="shared" si="38"/>
        <v>5.9388505747126441</v>
      </c>
      <c r="H110" s="1">
        <f t="shared" si="39"/>
        <v>5.938850574712645</v>
      </c>
      <c r="I110" s="1">
        <f t="shared" si="40"/>
        <v>5.9388505747126441</v>
      </c>
      <c r="J110" s="2">
        <f t="shared" si="41"/>
        <v>5.8881463625446395</v>
      </c>
      <c r="K110" s="7"/>
      <c r="P110">
        <v>7</v>
      </c>
      <c r="Q110" s="1">
        <f>(5523+5507+5527)/3</f>
        <v>5519</v>
      </c>
      <c r="R110">
        <f>(1615+1611+1625)/3</f>
        <v>1617</v>
      </c>
      <c r="S110" s="1">
        <f>(1876+1869+1870)/3</f>
        <v>1871.6666666666667</v>
      </c>
      <c r="T110" s="1">
        <f>R110*S108/T108</f>
        <v>2.2226804123711341</v>
      </c>
      <c r="U110" s="1">
        <f>S110*S108/T108</f>
        <v>2.5727376861397482</v>
      </c>
      <c r="V110" s="1">
        <f>Q110/$R$110*$T$110</f>
        <v>7.5862542955326466</v>
      </c>
      <c r="W110" s="1">
        <f>Q110/$S$110*$U$110</f>
        <v>7.5862542955326457</v>
      </c>
      <c r="X110" s="1">
        <f>(W110+V110)/2</f>
        <v>7.5862542955326457</v>
      </c>
      <c r="Y110" s="2">
        <f>4*(U110/2+T110/2)*(PI()/4)^((4*U110/2*T110/2)/(U110/2+T110/2)^2)</f>
        <v>7.5423276474694454</v>
      </c>
    </row>
    <row r="111" spans="1:25" x14ac:dyDescent="0.2">
      <c r="A111">
        <v>4</v>
      </c>
      <c r="B111">
        <f>(3987+3994+3966)/3</f>
        <v>3982.3333333333335</v>
      </c>
      <c r="G111" s="1">
        <f t="shared" si="38"/>
        <v>5.4928735632183914</v>
      </c>
      <c r="H111" s="1">
        <f t="shared" si="39"/>
        <v>5.4928735632183914</v>
      </c>
      <c r="I111" s="1">
        <f t="shared" si="40"/>
        <v>5.4928735632183914</v>
      </c>
      <c r="J111" s="2">
        <f t="shared" si="41"/>
        <v>5.4459769755609519</v>
      </c>
      <c r="K111" s="7"/>
      <c r="P111">
        <v>6</v>
      </c>
      <c r="Q111">
        <f>(5277+5280+5309)/3</f>
        <v>5288.666666666667</v>
      </c>
      <c r="V111" s="1">
        <f t="shared" ref="V111:V116" si="42">Q111/$R$110*$T$110</f>
        <v>7.2696449026345942</v>
      </c>
      <c r="W111" s="1">
        <f t="shared" ref="W111:W116" si="43">Q111/$S$110*$U$110</f>
        <v>7.2696449026345942</v>
      </c>
      <c r="X111" s="1">
        <f t="shared" ref="X111:X116" si="44">(W111+V111)/2</f>
        <v>7.2696449026345942</v>
      </c>
      <c r="Y111" s="2">
        <f t="shared" ref="Y111:Y116" si="45">X111*$W$118</f>
        <v>7.227551516262019</v>
      </c>
    </row>
    <row r="112" spans="1:25" x14ac:dyDescent="0.2">
      <c r="A112">
        <v>3</v>
      </c>
      <c r="B112">
        <f>(3835+3819+3846)/3</f>
        <v>3833.3333333333335</v>
      </c>
      <c r="G112" s="1">
        <f t="shared" si="38"/>
        <v>5.2873563218390816</v>
      </c>
      <c r="H112" s="1">
        <f t="shared" si="39"/>
        <v>5.2873563218390816</v>
      </c>
      <c r="I112" s="1">
        <f t="shared" si="40"/>
        <v>5.2873563218390816</v>
      </c>
      <c r="J112" s="2">
        <f t="shared" si="41"/>
        <v>5.2422143817653764</v>
      </c>
      <c r="K112" s="7"/>
      <c r="P112">
        <v>5</v>
      </c>
      <c r="Q112">
        <f>(5141+5135+5137)/3</f>
        <v>5137.666666666667</v>
      </c>
      <c r="V112" s="1">
        <f t="shared" si="42"/>
        <v>7.0620847651775494</v>
      </c>
      <c r="W112" s="1">
        <f t="shared" si="43"/>
        <v>7.0620847651775494</v>
      </c>
      <c r="X112" s="1">
        <f t="shared" si="44"/>
        <v>7.0620847651775494</v>
      </c>
      <c r="Y112" s="2">
        <f t="shared" si="45"/>
        <v>7.0211932131694494</v>
      </c>
    </row>
    <row r="113" spans="1:25" x14ac:dyDescent="0.2">
      <c r="A113">
        <v>2</v>
      </c>
      <c r="B113">
        <f>(3778+3799+3788)/3</f>
        <v>3788.3333333333335</v>
      </c>
      <c r="G113" s="1">
        <f t="shared" si="38"/>
        <v>5.2252873563218394</v>
      </c>
      <c r="H113" s="1">
        <f t="shared" si="39"/>
        <v>5.2252873563218403</v>
      </c>
      <c r="I113" s="1">
        <f t="shared" si="40"/>
        <v>5.2252873563218394</v>
      </c>
      <c r="J113" s="2">
        <f t="shared" si="41"/>
        <v>5.1806753433707389</v>
      </c>
      <c r="K113" s="7"/>
      <c r="P113">
        <v>4</v>
      </c>
      <c r="Q113">
        <f>(4864+4848+4870)/3</f>
        <v>4860.666666666667</v>
      </c>
      <c r="V113" s="1">
        <f t="shared" si="42"/>
        <v>6.6813287514318453</v>
      </c>
      <c r="W113" s="1">
        <f t="shared" si="43"/>
        <v>6.6813287514318453</v>
      </c>
      <c r="X113" s="1">
        <f t="shared" si="44"/>
        <v>6.6813287514318453</v>
      </c>
      <c r="Y113" s="2">
        <f t="shared" si="45"/>
        <v>6.642641888953281</v>
      </c>
    </row>
    <row r="114" spans="1:25" x14ac:dyDescent="0.2">
      <c r="A114">
        <v>1</v>
      </c>
      <c r="B114">
        <f>(3605+3604+3614)/3</f>
        <v>3607.6666666666665</v>
      </c>
      <c r="G114" s="1">
        <f t="shared" si="38"/>
        <v>4.9760919540229889</v>
      </c>
      <c r="H114" s="1">
        <f t="shared" si="39"/>
        <v>4.9760919540229889</v>
      </c>
      <c r="I114" s="1">
        <f t="shared" si="40"/>
        <v>4.9760919540229889</v>
      </c>
      <c r="J114" s="2">
        <f t="shared" si="41"/>
        <v>4.9336075003344924</v>
      </c>
      <c r="K114" s="7"/>
      <c r="P114">
        <v>3</v>
      </c>
      <c r="Q114">
        <f>(4615+4641+4638)/3</f>
        <v>4631.333333333333</v>
      </c>
      <c r="V114" s="1">
        <f t="shared" si="42"/>
        <v>6.3660939289805274</v>
      </c>
      <c r="W114" s="1">
        <f t="shared" si="43"/>
        <v>6.3660939289805274</v>
      </c>
      <c r="X114" s="1">
        <f t="shared" si="44"/>
        <v>6.3660939289805274</v>
      </c>
      <c r="Y114" s="2">
        <f t="shared" si="45"/>
        <v>6.3292323690246111</v>
      </c>
    </row>
    <row r="115" spans="1:25" x14ac:dyDescent="0.2">
      <c r="P115">
        <v>2</v>
      </c>
      <c r="Q115">
        <f>(4356+4340+4374)/3</f>
        <v>4356.666666666667</v>
      </c>
      <c r="V115" s="1">
        <f t="shared" si="42"/>
        <v>5.988545246277206</v>
      </c>
      <c r="W115" s="1">
        <f t="shared" si="43"/>
        <v>5.988545246277206</v>
      </c>
      <c r="X115" s="1">
        <f t="shared" si="44"/>
        <v>5.988545246277206</v>
      </c>
      <c r="Y115" s="2">
        <f t="shared" si="45"/>
        <v>5.95386980445888</v>
      </c>
    </row>
    <row r="116" spans="1:25" x14ac:dyDescent="0.2">
      <c r="H116" s="1">
        <f>J106/I106</f>
        <v>0.9914622852469297</v>
      </c>
      <c r="P116">
        <v>1</v>
      </c>
      <c r="Q116">
        <f>(4157+4147+4161)/3</f>
        <v>4155</v>
      </c>
      <c r="V116" s="1">
        <f t="shared" si="42"/>
        <v>5.7113402061855671</v>
      </c>
      <c r="W116" s="1">
        <f t="shared" si="43"/>
        <v>5.7113402061855671</v>
      </c>
      <c r="X116" s="1">
        <f t="shared" si="44"/>
        <v>5.7113402061855671</v>
      </c>
      <c r="Y116" s="2">
        <f t="shared" si="45"/>
        <v>5.6782698632425346</v>
      </c>
    </row>
    <row r="118" spans="1:25" x14ac:dyDescent="0.2">
      <c r="W118" s="1">
        <f>Y110/X110</f>
        <v>0.99420970529697805</v>
      </c>
    </row>
    <row r="119" spans="1:25" x14ac:dyDescent="0.2">
      <c r="A119">
        <v>174912</v>
      </c>
      <c r="B119" t="s">
        <v>12</v>
      </c>
      <c r="C119" t="s">
        <v>11</v>
      </c>
      <c r="D119">
        <v>0.8</v>
      </c>
      <c r="E119">
        <f>(573+576+579)/3</f>
        <v>576</v>
      </c>
    </row>
    <row r="120" spans="1:25" x14ac:dyDescent="0.2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7</v>
      </c>
      <c r="I120" t="s">
        <v>8</v>
      </c>
      <c r="J120" t="s">
        <v>9</v>
      </c>
    </row>
    <row r="121" spans="1:25" x14ac:dyDescent="0.2">
      <c r="A121">
        <v>5</v>
      </c>
      <c r="B121" s="1">
        <f>(5506+5505+5510)/3</f>
        <v>5507</v>
      </c>
      <c r="C121">
        <f>(1586+1581+1582)/3</f>
        <v>1583</v>
      </c>
      <c r="D121" s="1">
        <f>(1894+1895+1894)/3</f>
        <v>1894.3333333333333</v>
      </c>
      <c r="E121" s="1">
        <f>C121*D119/E119</f>
        <v>2.1986111111111111</v>
      </c>
      <c r="F121" s="1">
        <f>D121*D119/E119</f>
        <v>2.6310185185185184</v>
      </c>
      <c r="G121" s="1">
        <f>B121/$C$121*$E$121</f>
        <v>7.6486111111111104</v>
      </c>
      <c r="H121" s="1">
        <f>B121/$D$121*$F$121</f>
        <v>7.6486111111111112</v>
      </c>
      <c r="I121" s="1">
        <f>(H121+G121)/2</f>
        <v>7.6486111111111104</v>
      </c>
      <c r="J121" s="2">
        <f>4*(F121/2+E121/2)*(PI()/4)^((4*F121/2*E121/2)/(F121/2+E121/2)^2)</f>
        <v>7.6010688348393556</v>
      </c>
      <c r="K121" s="7"/>
      <c r="P121">
        <v>174844</v>
      </c>
      <c r="Q121" t="s">
        <v>10</v>
      </c>
      <c r="R121" t="s">
        <v>11</v>
      </c>
      <c r="S121">
        <v>0.8</v>
      </c>
      <c r="T121">
        <f>(573+579+576)/3</f>
        <v>576</v>
      </c>
    </row>
    <row r="122" spans="1:25" x14ac:dyDescent="0.2">
      <c r="A122">
        <v>4</v>
      </c>
      <c r="B122">
        <f>(5293+5293+5307)/3</f>
        <v>5297.666666666667</v>
      </c>
      <c r="G122" s="1">
        <f>B122/$C$121*$E$121</f>
        <v>7.3578703703703709</v>
      </c>
      <c r="H122" s="1">
        <f>B122/$D$121*$F$121</f>
        <v>7.3578703703703709</v>
      </c>
      <c r="I122" s="1">
        <f>(H122+G122)/2</f>
        <v>7.3578703703703709</v>
      </c>
      <c r="J122" s="2">
        <f>I122*$H$127</f>
        <v>7.3121352818898311</v>
      </c>
      <c r="K122" s="7"/>
      <c r="P122" t="s">
        <v>0</v>
      </c>
      <c r="Q122" t="s">
        <v>1</v>
      </c>
      <c r="R122" t="s">
        <v>2</v>
      </c>
      <c r="S122" t="s">
        <v>3</v>
      </c>
      <c r="T122" t="s">
        <v>4</v>
      </c>
      <c r="U122" t="s">
        <v>5</v>
      </c>
      <c r="V122" t="s">
        <v>6</v>
      </c>
      <c r="W122" t="s">
        <v>7</v>
      </c>
      <c r="X122" t="s">
        <v>8</v>
      </c>
      <c r="Y122" t="s">
        <v>9</v>
      </c>
    </row>
    <row r="123" spans="1:25" x14ac:dyDescent="0.2">
      <c r="A123">
        <v>3</v>
      </c>
      <c r="B123">
        <f>(5038+5029+5050)/3</f>
        <v>5039</v>
      </c>
      <c r="G123" s="1">
        <f>B123/$C$121*$E$121</f>
        <v>6.9986111111111109</v>
      </c>
      <c r="H123" s="1">
        <f>B123/$D$121*$F$121</f>
        <v>6.9986111111111109</v>
      </c>
      <c r="I123" s="1">
        <f>(H123+G123)/2</f>
        <v>6.9986111111111109</v>
      </c>
      <c r="J123" s="2">
        <f>I123*$H$127</f>
        <v>6.9551091081814995</v>
      </c>
      <c r="K123" s="7"/>
      <c r="P123">
        <v>9</v>
      </c>
      <c r="Q123" s="1">
        <f>(5264+5260+5256)/3</f>
        <v>5260</v>
      </c>
      <c r="R123">
        <f>(1556+1551+1558)/3</f>
        <v>1555</v>
      </c>
      <c r="S123" s="1">
        <f>(1769+1768+1769)/3</f>
        <v>1768.6666666666667</v>
      </c>
      <c r="T123" s="1">
        <f>R123*S121/T121</f>
        <v>2.1597222222222223</v>
      </c>
      <c r="U123" s="1">
        <f>S123*S121/T121</f>
        <v>2.4564814814814815</v>
      </c>
      <c r="V123" s="1">
        <f>Q123/$R$123*$T$123</f>
        <v>7.3055555555555554</v>
      </c>
      <c r="W123" s="1">
        <f>Q123/$S$123*$U$123</f>
        <v>7.3055555555555554</v>
      </c>
      <c r="X123" s="1">
        <f>(W123+V123)/2</f>
        <v>7.3055555555555554</v>
      </c>
      <c r="Y123" s="2">
        <f>4*(U123/2+T123/2)*(PI()/4)^((4*U123/2*T123/2)/(U123/2+T123/2)^2)</f>
        <v>7.2583584021134149</v>
      </c>
    </row>
    <row r="124" spans="1:25" x14ac:dyDescent="0.2">
      <c r="A124">
        <v>2</v>
      </c>
      <c r="B124">
        <f>(4572+4562+4565)/3</f>
        <v>4566.333333333333</v>
      </c>
      <c r="G124" s="1">
        <f>B124/$C$121*$E$121</f>
        <v>6.3421296296296292</v>
      </c>
      <c r="H124" s="1">
        <f>B124/$D$121*$F$121</f>
        <v>6.3421296296296292</v>
      </c>
      <c r="I124" s="1">
        <f>(H124+G124)/2</f>
        <v>6.3421296296296292</v>
      </c>
      <c r="J124" s="2">
        <f>I124*$H$127</f>
        <v>6.3027081876680793</v>
      </c>
      <c r="K124" s="7"/>
      <c r="P124">
        <v>8</v>
      </c>
      <c r="Q124">
        <f>(5097+5108+5100)/3</f>
        <v>5101.666666666667</v>
      </c>
      <c r="V124" s="1">
        <f t="shared" ref="V124:V131" si="46">Q124/$R$123*$T$123</f>
        <v>7.0856481481481488</v>
      </c>
      <c r="W124" s="1">
        <f t="shared" ref="W124:W131" si="47">Q124/$S$123*$U$123</f>
        <v>7.0856481481481479</v>
      </c>
      <c r="X124" s="1">
        <f t="shared" ref="X124:X131" si="48">(W124+V124)/2</f>
        <v>7.0856481481481488</v>
      </c>
      <c r="Y124" s="2">
        <f>X124*$W$133</f>
        <v>7.0398716948254636</v>
      </c>
    </row>
    <row r="125" spans="1:25" x14ac:dyDescent="0.2">
      <c r="A125">
        <v>1</v>
      </c>
      <c r="B125">
        <f>(4174+4158+4141)/3</f>
        <v>4157.666666666667</v>
      </c>
      <c r="G125" s="1">
        <f>B125/$C$121*$E$121</f>
        <v>5.774537037037037</v>
      </c>
      <c r="H125" s="1">
        <f>B125/$D$121*$F$121</f>
        <v>5.774537037037037</v>
      </c>
      <c r="I125" s="1">
        <f>(H125+G125)/2</f>
        <v>5.774537037037037</v>
      </c>
      <c r="J125" s="2">
        <f>I125*$H$127</f>
        <v>5.738643640030948</v>
      </c>
      <c r="K125" s="7"/>
      <c r="P125">
        <v>7</v>
      </c>
      <c r="Q125">
        <f>(4940+4955+4951)/3</f>
        <v>4948.666666666667</v>
      </c>
      <c r="V125" s="1">
        <f t="shared" si="46"/>
        <v>6.8731481481481493</v>
      </c>
      <c r="W125" s="1">
        <f t="shared" si="47"/>
        <v>6.8731481481481485</v>
      </c>
      <c r="X125" s="1">
        <f t="shared" si="48"/>
        <v>6.8731481481481485</v>
      </c>
      <c r="Y125" s="2">
        <f t="shared" ref="Y125:Y131" si="49">X125*$W$133</f>
        <v>6.8287445397830009</v>
      </c>
    </row>
    <row r="126" spans="1:25" x14ac:dyDescent="0.2">
      <c r="P126">
        <v>6</v>
      </c>
      <c r="Q126">
        <f>(4799+4792+4794)/3</f>
        <v>4795</v>
      </c>
      <c r="V126" s="1">
        <f t="shared" si="46"/>
        <v>6.6597222222222223</v>
      </c>
      <c r="W126" s="1">
        <f t="shared" si="47"/>
        <v>6.6597222222222223</v>
      </c>
      <c r="X126" s="1">
        <f t="shared" si="48"/>
        <v>6.6597222222222223</v>
      </c>
      <c r="Y126" s="2">
        <f t="shared" si="49"/>
        <v>6.6166974407098529</v>
      </c>
    </row>
    <row r="127" spans="1:25" x14ac:dyDescent="0.2">
      <c r="H127" s="1">
        <f>J121/I121</f>
        <v>0.99378419485824165</v>
      </c>
      <c r="P127">
        <v>5</v>
      </c>
      <c r="Q127">
        <f>(4687+4702+4705)/3</f>
        <v>4698</v>
      </c>
      <c r="V127" s="1">
        <f t="shared" si="46"/>
        <v>6.5250000000000004</v>
      </c>
      <c r="W127" s="1">
        <f t="shared" si="47"/>
        <v>6.5250000000000004</v>
      </c>
      <c r="X127" s="1">
        <f t="shared" si="48"/>
        <v>6.5250000000000004</v>
      </c>
      <c r="Y127" s="2">
        <f t="shared" si="49"/>
        <v>6.4828455842450232</v>
      </c>
    </row>
    <row r="128" spans="1:25" x14ac:dyDescent="0.2">
      <c r="P128">
        <v>4</v>
      </c>
      <c r="Q128">
        <f>(4583+4590+4600)/3</f>
        <v>4591</v>
      </c>
      <c r="V128" s="1">
        <f t="shared" si="46"/>
        <v>6.37638888888889</v>
      </c>
      <c r="W128" s="1">
        <f t="shared" si="47"/>
        <v>6.3763888888888882</v>
      </c>
      <c r="X128" s="1">
        <f t="shared" si="48"/>
        <v>6.3763888888888891</v>
      </c>
      <c r="Y128" s="2">
        <f t="shared" si="49"/>
        <v>6.3351945673199026</v>
      </c>
    </row>
    <row r="129" spans="1:25" x14ac:dyDescent="0.2">
      <c r="P129">
        <v>3</v>
      </c>
      <c r="Q129">
        <f>(4376+4384+4399)/3</f>
        <v>4386.333333333333</v>
      </c>
      <c r="V129" s="1">
        <f t="shared" si="46"/>
        <v>6.0921296296296292</v>
      </c>
      <c r="W129" s="1">
        <f t="shared" si="47"/>
        <v>6.0921296296296292</v>
      </c>
      <c r="X129" s="1">
        <f t="shared" si="48"/>
        <v>6.0921296296296292</v>
      </c>
      <c r="Y129" s="2">
        <f t="shared" si="49"/>
        <v>6.0527717498992661</v>
      </c>
    </row>
    <row r="130" spans="1:25" x14ac:dyDescent="0.2">
      <c r="A130">
        <v>174927</v>
      </c>
      <c r="P130">
        <v>2</v>
      </c>
      <c r="Q130">
        <f>(4143+4127+4112)/3</f>
        <v>4127.333333333333</v>
      </c>
      <c r="V130" s="1">
        <f t="shared" si="46"/>
        <v>5.7324074074074067</v>
      </c>
      <c r="W130" s="1">
        <f t="shared" si="47"/>
        <v>5.7324074074074067</v>
      </c>
      <c r="X130" s="1">
        <f t="shared" si="48"/>
        <v>5.7324074074074067</v>
      </c>
      <c r="Y130" s="2">
        <f t="shared" si="49"/>
        <v>5.6953734939777121</v>
      </c>
    </row>
    <row r="131" spans="1:25" x14ac:dyDescent="0.2">
      <c r="A131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  <c r="H131" t="s">
        <v>7</v>
      </c>
      <c r="I131" t="s">
        <v>8</v>
      </c>
      <c r="J131" t="s">
        <v>9</v>
      </c>
      <c r="P131">
        <v>1</v>
      </c>
      <c r="Q131">
        <f>(3921+3952+3939)/3</f>
        <v>3937.3333333333335</v>
      </c>
      <c r="V131" s="1">
        <f t="shared" si="46"/>
        <v>5.4685185185185183</v>
      </c>
      <c r="W131" s="1">
        <f t="shared" si="47"/>
        <v>5.4685185185185183</v>
      </c>
      <c r="X131" s="1">
        <f t="shared" si="48"/>
        <v>5.4685185185185183</v>
      </c>
      <c r="Y131" s="2">
        <f t="shared" si="49"/>
        <v>5.4331894452321707</v>
      </c>
    </row>
    <row r="132" spans="1:25" x14ac:dyDescent="0.2">
      <c r="A132">
        <v>7</v>
      </c>
      <c r="B132">
        <f>(5154+5166+5146)/3</f>
        <v>5155.333333333333</v>
      </c>
      <c r="C132">
        <f>(1586+1596+1599)/3</f>
        <v>1593.6666666666667</v>
      </c>
      <c r="D132">
        <f>(1677+1675+1665)/3</f>
        <v>1672.3333333333333</v>
      </c>
      <c r="E132">
        <v>2.1930000000000001</v>
      </c>
      <c r="F132">
        <v>2.266</v>
      </c>
      <c r="G132" s="1">
        <f>B132/$C$132*$E$132</f>
        <v>7.0941096005019864</v>
      </c>
      <c r="H132" s="1">
        <f>B132/$D$132*$F$132</f>
        <v>6.985440701614511</v>
      </c>
      <c r="I132" s="1">
        <f>(H132+G132)/2</f>
        <v>7.0397751510582491</v>
      </c>
      <c r="J132" s="2">
        <f>4*(F132/2+E132/2)*(PI()/4)^((4*F132/2*E132/2)/(F132/2+E132/2)^2)</f>
        <v>7.0046343190477716</v>
      </c>
      <c r="K132" s="7"/>
    </row>
    <row r="133" spans="1:25" x14ac:dyDescent="0.2">
      <c r="A133">
        <v>6</v>
      </c>
      <c r="B133">
        <f>(4996+4982+4977)/3</f>
        <v>4985</v>
      </c>
      <c r="G133" s="1">
        <f t="shared" ref="G133:G138" si="50">B133/$C$132*$E$132</f>
        <v>6.8597186781008155</v>
      </c>
      <c r="H133" s="1">
        <f t="shared" ref="H133:H138" si="51">B133/$D$132*$F$132</f>
        <v>6.7546402232409815</v>
      </c>
      <c r="I133" s="1">
        <f t="shared" ref="I133:I138" si="52">(H133+G133)/2</f>
        <v>6.8071794506708985</v>
      </c>
      <c r="J133" s="2">
        <f t="shared" ref="J133:J138" si="53">I133*$H$140</f>
        <v>6.7731996793844189</v>
      </c>
      <c r="K133" s="7"/>
      <c r="W133" s="1">
        <f>Y123/X123</f>
        <v>0.99353955314099973</v>
      </c>
    </row>
    <row r="134" spans="1:25" x14ac:dyDescent="0.2">
      <c r="A134">
        <v>5</v>
      </c>
      <c r="B134">
        <f>(4783+4789+4804)/3</f>
        <v>4792</v>
      </c>
      <c r="G134" s="1">
        <f t="shared" si="50"/>
        <v>6.5941367914662203</v>
      </c>
      <c r="H134" s="1">
        <f t="shared" si="51"/>
        <v>6.4931265696631453</v>
      </c>
      <c r="I134" s="1">
        <f t="shared" si="52"/>
        <v>6.5436316805646833</v>
      </c>
      <c r="J134" s="2">
        <f t="shared" si="53"/>
        <v>6.5109674751474698</v>
      </c>
      <c r="K134" s="7"/>
    </row>
    <row r="135" spans="1:25" x14ac:dyDescent="0.2">
      <c r="A135">
        <v>4</v>
      </c>
      <c r="B135">
        <f>(4510+4505+4486)/3</f>
        <v>4500.333333333333</v>
      </c>
      <c r="G135" s="1">
        <f t="shared" si="50"/>
        <v>6.1927824722861322</v>
      </c>
      <c r="H135" s="1">
        <f t="shared" si="51"/>
        <v>6.0979202710783333</v>
      </c>
      <c r="I135" s="1">
        <f t="shared" si="52"/>
        <v>6.1453513716822332</v>
      </c>
      <c r="J135" s="2">
        <f t="shared" si="53"/>
        <v>6.1146752839430984</v>
      </c>
      <c r="K135" s="7"/>
    </row>
    <row r="136" spans="1:25" x14ac:dyDescent="0.2">
      <c r="A136">
        <v>3</v>
      </c>
      <c r="B136">
        <f>(4302+4304+4280)/3</f>
        <v>4295.333333333333</v>
      </c>
      <c r="G136" s="1">
        <f t="shared" si="50"/>
        <v>5.9106877222338419</v>
      </c>
      <c r="H136" s="1">
        <f t="shared" si="51"/>
        <v>5.8201467012158661</v>
      </c>
      <c r="I136" s="1">
        <f t="shared" si="52"/>
        <v>5.8654172117248535</v>
      </c>
      <c r="J136" s="2">
        <f t="shared" si="53"/>
        <v>5.8361384866965968</v>
      </c>
      <c r="K136" s="7"/>
      <c r="P136">
        <v>174898</v>
      </c>
      <c r="Q136" t="s">
        <v>10</v>
      </c>
      <c r="R136" t="s">
        <v>11</v>
      </c>
      <c r="S136">
        <v>0.8</v>
      </c>
      <c r="T136">
        <f>(573+579+582)/3</f>
        <v>578</v>
      </c>
    </row>
    <row r="137" spans="1:25" x14ac:dyDescent="0.2">
      <c r="A137">
        <v>2</v>
      </c>
      <c r="B137">
        <f>(4080+4066+4065)/3</f>
        <v>4070.3333333333335</v>
      </c>
      <c r="G137" s="1">
        <f t="shared" si="50"/>
        <v>5.6010715331520604</v>
      </c>
      <c r="H137" s="1">
        <f t="shared" si="51"/>
        <v>5.5152732708790122</v>
      </c>
      <c r="I137" s="1">
        <f t="shared" si="52"/>
        <v>5.5581724020155363</v>
      </c>
      <c r="J137" s="2">
        <f t="shared" si="53"/>
        <v>5.530427367767512</v>
      </c>
      <c r="K137" s="7"/>
      <c r="P137" t="s">
        <v>0</v>
      </c>
      <c r="Q137" t="s">
        <v>1</v>
      </c>
      <c r="R137" t="s">
        <v>2</v>
      </c>
      <c r="S137" t="s">
        <v>3</v>
      </c>
      <c r="T137" t="s">
        <v>4</v>
      </c>
      <c r="U137" t="s">
        <v>5</v>
      </c>
      <c r="V137" t="s">
        <v>6</v>
      </c>
      <c r="W137" t="s">
        <v>7</v>
      </c>
      <c r="X137" t="s">
        <v>8</v>
      </c>
      <c r="Y137" t="s">
        <v>9</v>
      </c>
    </row>
    <row r="138" spans="1:25" x14ac:dyDescent="0.2">
      <c r="A138">
        <v>1</v>
      </c>
      <c r="B138">
        <f>(3858*2+3832)/3</f>
        <v>3849.3333333333335</v>
      </c>
      <c r="G138" s="1">
        <f t="shared" si="50"/>
        <v>5.2969596318761774</v>
      </c>
      <c r="H138" s="1">
        <f t="shared" si="51"/>
        <v>5.2158198126370348</v>
      </c>
      <c r="I138" s="1">
        <f t="shared" si="52"/>
        <v>5.2563897222566061</v>
      </c>
      <c r="J138" s="2">
        <f t="shared" si="53"/>
        <v>5.2301511131749434</v>
      </c>
      <c r="K138" s="7"/>
      <c r="P138">
        <v>5</v>
      </c>
      <c r="Q138" s="1">
        <f>(4970+4957+4956)/3</f>
        <v>4961</v>
      </c>
      <c r="R138">
        <f>(1441+1427+1426)/3</f>
        <v>1431.3333333333333</v>
      </c>
      <c r="S138" s="1">
        <f>(1697+1703+1705)/3</f>
        <v>1701.6666666666667</v>
      </c>
      <c r="T138" s="1">
        <f>R138*S136/T136</f>
        <v>1.9810841983852363</v>
      </c>
      <c r="U138" s="1">
        <f>S138*S136/T136</f>
        <v>2.3552479815455598</v>
      </c>
      <c r="V138" s="1">
        <f>Q138/$R$138*$T$138</f>
        <v>6.8664359861591695</v>
      </c>
      <c r="W138" s="1">
        <f>Q138/$S$138*$U$138</f>
        <v>6.8664359861591704</v>
      </c>
      <c r="X138" s="1">
        <f>(W138+V138)/2</f>
        <v>6.8664359861591695</v>
      </c>
      <c r="Y138" s="2">
        <f>4*(U138/2+T138/2)*(PI()/4)^((4*U138/2*T138/2)/(U138/2+T138/2)^2)</f>
        <v>6.8237561852055215</v>
      </c>
    </row>
    <row r="139" spans="1:25" x14ac:dyDescent="0.2">
      <c r="P139">
        <v>4</v>
      </c>
      <c r="Q139">
        <f>(4716+4728+4725)/3</f>
        <v>4723</v>
      </c>
      <c r="V139" s="1">
        <f>Q139/$R$138*$T$138</f>
        <v>6.5370242214532874</v>
      </c>
      <c r="W139" s="1">
        <f>Q139/$S$138*$U$138</f>
        <v>6.5370242214532874</v>
      </c>
      <c r="X139" s="1">
        <f>(W139+V139)/2</f>
        <v>6.5370242214532874</v>
      </c>
      <c r="Y139" s="2">
        <f>X139*$W$144</f>
        <v>6.4963919497532112</v>
      </c>
    </row>
    <row r="140" spans="1:25" x14ac:dyDescent="0.2">
      <c r="H140" s="4">
        <f>J132/I132</f>
        <v>0.99500824511345431</v>
      </c>
      <c r="P140">
        <v>3</v>
      </c>
      <c r="Q140">
        <f>(4306+4341+4331)/3</f>
        <v>4326</v>
      </c>
      <c r="V140" s="1">
        <f>Q140/$R$138*$T$138</f>
        <v>5.9875432525951551</v>
      </c>
      <c r="W140" s="1">
        <f>Q140/$S$138*$U$138</f>
        <v>5.987543252595156</v>
      </c>
      <c r="X140" s="1">
        <f>(W140+V140)/2</f>
        <v>5.987543252595156</v>
      </c>
      <c r="Y140" s="2">
        <f>X140*$W$144</f>
        <v>5.9503263973390625</v>
      </c>
    </row>
    <row r="141" spans="1:25" x14ac:dyDescent="0.2">
      <c r="P141">
        <v>2</v>
      </c>
      <c r="Q141">
        <f>(3605+3600+3586)/3</f>
        <v>3597</v>
      </c>
      <c r="V141" s="1">
        <f>Q141/$R$138*$T$138</f>
        <v>4.9785467128027676</v>
      </c>
      <c r="W141" s="1">
        <f>Q141/$S$138*$U$138</f>
        <v>4.9785467128027685</v>
      </c>
      <c r="X141" s="1">
        <f>(W141+V141)/2</f>
        <v>4.9785467128027676</v>
      </c>
      <c r="Y141" s="2">
        <f>X141*$W$144</f>
        <v>4.947601491268748</v>
      </c>
    </row>
    <row r="142" spans="1:25" x14ac:dyDescent="0.2">
      <c r="P142">
        <v>1</v>
      </c>
      <c r="Q142">
        <f>(3082+3114+3090)/3</f>
        <v>3095.3333333333335</v>
      </c>
      <c r="V142" s="1">
        <f>Q142/$R$138*$T$138</f>
        <v>4.2841983852364471</v>
      </c>
      <c r="W142" s="1">
        <f>Q142/$S$138*$U$138</f>
        <v>4.284198385236448</v>
      </c>
      <c r="X142" s="1">
        <f>(W142+V142)/2</f>
        <v>4.2841983852364471</v>
      </c>
      <c r="Y142" s="2">
        <f>X142*$W$144</f>
        <v>4.2575690341878971</v>
      </c>
    </row>
    <row r="143" spans="1:25" x14ac:dyDescent="0.2">
      <c r="A143">
        <v>174932</v>
      </c>
    </row>
    <row r="144" spans="1:25" x14ac:dyDescent="0.2">
      <c r="A144" t="s">
        <v>0</v>
      </c>
      <c r="B144" t="s">
        <v>1</v>
      </c>
      <c r="C144" t="s">
        <v>2</v>
      </c>
      <c r="D144" t="s">
        <v>3</v>
      </c>
      <c r="E144" t="s">
        <v>4</v>
      </c>
      <c r="F144" t="s">
        <v>5</v>
      </c>
      <c r="G144" t="s">
        <v>6</v>
      </c>
      <c r="H144" t="s">
        <v>7</v>
      </c>
      <c r="I144" t="s">
        <v>8</v>
      </c>
      <c r="J144" t="s">
        <v>9</v>
      </c>
      <c r="W144" s="1">
        <f>Y138/X138</f>
        <v>0.99378428619451509</v>
      </c>
    </row>
    <row r="145" spans="1:37" x14ac:dyDescent="0.2">
      <c r="A145">
        <v>5</v>
      </c>
      <c r="B145">
        <f>(6129+6116+6121)/3</f>
        <v>6122</v>
      </c>
      <c r="C145">
        <f>(1887+1881+1870)/3</f>
        <v>1879.3333333333333</v>
      </c>
      <c r="D145">
        <f>(1964+1958+1973)/3</f>
        <v>1965</v>
      </c>
      <c r="E145">
        <v>2.66</v>
      </c>
      <c r="F145">
        <v>2.8519999999999999</v>
      </c>
      <c r="G145" s="1">
        <f>B145/$C$145*$E$145</f>
        <v>8.6650514366796738</v>
      </c>
      <c r="H145" s="1">
        <f>B145/$D$145*$F$145</f>
        <v>8.8854676844783711</v>
      </c>
      <c r="I145" s="1">
        <f>(H145+G145)/2</f>
        <v>8.7752595605790233</v>
      </c>
      <c r="J145" s="2">
        <f>4*(F145/2+E145/2)*(PI()/4)^((4*F145/2*E145/2)/(F145/2+E145/2)^2)</f>
        <v>8.6607674597856104</v>
      </c>
      <c r="K145" s="7"/>
    </row>
    <row r="146" spans="1:37" x14ac:dyDescent="0.2">
      <c r="A146">
        <v>4</v>
      </c>
      <c r="B146">
        <f>(5388+5372+5390)/3</f>
        <v>5383.333333333333</v>
      </c>
      <c r="G146" s="1">
        <f>B146/$C$145*$E$145</f>
        <v>7.6195459382759845</v>
      </c>
      <c r="H146" s="1">
        <f>B146/$D$145*$F$145</f>
        <v>7.8133672603901605</v>
      </c>
      <c r="I146" s="1">
        <f>(H146+G146)/2</f>
        <v>7.7164565993330729</v>
      </c>
      <c r="J146" s="2">
        <f>I146*$H$151</f>
        <v>7.615778856339845</v>
      </c>
      <c r="K146" s="7"/>
    </row>
    <row r="147" spans="1:37" x14ac:dyDescent="0.2">
      <c r="A147">
        <v>3</v>
      </c>
      <c r="B147">
        <f>(5096+5124+5106)/3</f>
        <v>5108.666666666667</v>
      </c>
      <c r="G147" s="1">
        <f>B147/$C$145*$E$145</f>
        <v>7.2307839659453723</v>
      </c>
      <c r="H147" s="1">
        <f>B147/$D$145*$F$145</f>
        <v>7.414716200169635</v>
      </c>
      <c r="I147" s="1">
        <f>(H147+G147)/2</f>
        <v>7.3227500830575032</v>
      </c>
      <c r="J147" s="2">
        <f>I147*$H$151</f>
        <v>7.2272090868275214</v>
      </c>
      <c r="K147" s="7"/>
      <c r="P147">
        <v>174906</v>
      </c>
    </row>
    <row r="148" spans="1:37" x14ac:dyDescent="0.2">
      <c r="A148">
        <v>2</v>
      </c>
      <c r="B148">
        <f>(4849+4835+4818)/3</f>
        <v>4834</v>
      </c>
      <c r="G148" s="1">
        <f>B148/$C$145*$E$145</f>
        <v>6.8420219936147575</v>
      </c>
      <c r="H148" s="1">
        <f>B148/$D$145*$F$145</f>
        <v>7.0160651399491094</v>
      </c>
      <c r="I148" s="1">
        <f>(H148+G148)/2</f>
        <v>6.9290435667819334</v>
      </c>
      <c r="J148" s="2">
        <f>I148*$H$151</f>
        <v>6.8386393173151978</v>
      </c>
      <c r="K148" s="7"/>
      <c r="P148" t="s">
        <v>0</v>
      </c>
      <c r="Q148" t="s">
        <v>1</v>
      </c>
      <c r="R148" t="s">
        <v>2</v>
      </c>
      <c r="S148" t="s">
        <v>3</v>
      </c>
      <c r="T148" t="s">
        <v>4</v>
      </c>
      <c r="U148" t="s">
        <v>5</v>
      </c>
      <c r="V148" t="s">
        <v>6</v>
      </c>
      <c r="W148" t="s">
        <v>7</v>
      </c>
      <c r="X148" t="s">
        <v>8</v>
      </c>
      <c r="Y148" t="s">
        <v>9</v>
      </c>
    </row>
    <row r="149" spans="1:37" x14ac:dyDescent="0.2">
      <c r="A149">
        <v>1</v>
      </c>
      <c r="B149">
        <f>(4534+4522+4523)/3</f>
        <v>4526.333333333333</v>
      </c>
      <c r="G149" s="1">
        <f>B149/$C$145*$E$145</f>
        <v>6.4065519687832566</v>
      </c>
      <c r="H149" s="1">
        <f>B149/$D$145*$F$145</f>
        <v>6.5695178965224761</v>
      </c>
      <c r="I149" s="1">
        <f>(H149+G149)/2</f>
        <v>6.4880349326528659</v>
      </c>
      <c r="J149" s="2">
        <f>I149*$H$151</f>
        <v>6.4033845876308826</v>
      </c>
      <c r="K149" s="7"/>
      <c r="P149">
        <v>8</v>
      </c>
      <c r="Q149">
        <f>(5973+5967+5957)/3</f>
        <v>5965.666666666667</v>
      </c>
      <c r="R149">
        <f>(1878*2+1871)/3</f>
        <v>1875.6666666666667</v>
      </c>
      <c r="S149">
        <f>(1905+1904+1907)/3</f>
        <v>1905.3333333333333</v>
      </c>
      <c r="T149">
        <v>2.6320000000000001</v>
      </c>
      <c r="U149">
        <v>2.6509999999999998</v>
      </c>
      <c r="V149" s="1">
        <f>Q149/$R$149*$T$149</f>
        <v>8.3712287186778038</v>
      </c>
      <c r="W149" s="1">
        <f>Q149/$S$149*$U$149</f>
        <v>8.3003756123163051</v>
      </c>
      <c r="X149" s="1">
        <f>(W149+V149)/2</f>
        <v>8.3358021654970536</v>
      </c>
      <c r="Y149" s="2">
        <f>4*(U149/2+T149/2)*(PI()/4)^((4*U149/2*T149/2)/(U149/2+T149/2)^2)</f>
        <v>8.2985429231258347</v>
      </c>
      <c r="AC149" s="1"/>
      <c r="AD149" s="1"/>
      <c r="AE149" s="1"/>
      <c r="AF149" s="1"/>
      <c r="AG149" s="1"/>
      <c r="AH149" s="1"/>
      <c r="AI149" s="1"/>
      <c r="AJ149" s="1"/>
      <c r="AK149" s="2"/>
    </row>
    <row r="150" spans="1:37" x14ac:dyDescent="0.2">
      <c r="P150">
        <v>7</v>
      </c>
      <c r="Q150">
        <f>(5721+5705+5724)/3</f>
        <v>5716.666666666667</v>
      </c>
      <c r="V150" s="1">
        <f t="shared" ref="V150:V156" si="54">Q150/$R$149*$T$149</f>
        <v>8.021823351697174</v>
      </c>
      <c r="W150" s="1">
        <f t="shared" ref="W150:W156" si="55">Q150/$S$149*$U$149</f>
        <v>7.9539275717284807</v>
      </c>
      <c r="X150" s="1">
        <f t="shared" ref="X150:X156" si="56">(W150+V150)/2</f>
        <v>7.9878754617128269</v>
      </c>
      <c r="Y150" s="2">
        <f>X150*$W$158</f>
        <v>7.9521713768569064</v>
      </c>
      <c r="AC150" s="1"/>
      <c r="AD150" s="1"/>
      <c r="AE150" s="1"/>
      <c r="AF150" s="1"/>
      <c r="AG150" s="1"/>
      <c r="AH150" s="1"/>
      <c r="AI150" s="1"/>
      <c r="AJ150" s="1"/>
      <c r="AK150" s="2"/>
    </row>
    <row r="151" spans="1:37" x14ac:dyDescent="0.2">
      <c r="H151" s="1">
        <f>J145/I145</f>
        <v>0.98695285307482594</v>
      </c>
      <c r="P151">
        <v>6</v>
      </c>
      <c r="Q151">
        <f>(5399+5388+5391)/3</f>
        <v>5392.666666666667</v>
      </c>
      <c r="V151" s="1">
        <f t="shared" si="54"/>
        <v>7.567175404300694</v>
      </c>
      <c r="W151" s="1">
        <f t="shared" si="55"/>
        <v>7.5031277116864938</v>
      </c>
      <c r="X151" s="1">
        <f t="shared" si="56"/>
        <v>7.5351515579935935</v>
      </c>
      <c r="Y151" s="2">
        <f t="shared" ref="Y151:Y156" si="57">X151*$W$158</f>
        <v>7.5014710515913148</v>
      </c>
      <c r="AC151" s="1"/>
      <c r="AD151" s="1"/>
      <c r="AE151" s="1"/>
      <c r="AF151" s="1"/>
      <c r="AG151" s="1"/>
      <c r="AH151" s="1"/>
      <c r="AI151" s="1"/>
      <c r="AJ151" s="1"/>
      <c r="AK151" s="2"/>
    </row>
    <row r="152" spans="1:37" x14ac:dyDescent="0.2">
      <c r="P152">
        <v>5</v>
      </c>
      <c r="Q152">
        <f>(5232+5233+5225)/3</f>
        <v>5230</v>
      </c>
      <c r="V152" s="1">
        <f t="shared" si="54"/>
        <v>7.3389159409987563</v>
      </c>
      <c r="W152" s="1">
        <f t="shared" si="55"/>
        <v>7.2768002099370186</v>
      </c>
      <c r="X152" s="1">
        <f t="shared" si="56"/>
        <v>7.3078580754678875</v>
      </c>
      <c r="Y152" s="2">
        <f t="shared" si="57"/>
        <v>7.2751935220341037</v>
      </c>
      <c r="AC152" s="1"/>
      <c r="AD152" s="1"/>
      <c r="AE152" s="1"/>
      <c r="AF152" s="1"/>
      <c r="AG152" s="1"/>
      <c r="AH152" s="1"/>
      <c r="AI152" s="1"/>
      <c r="AJ152" s="1"/>
      <c r="AK152" s="2"/>
    </row>
    <row r="153" spans="1:37" x14ac:dyDescent="0.2">
      <c r="P153">
        <v>4</v>
      </c>
      <c r="Q153">
        <f>(4864+4855+4880)/3</f>
        <v>4866.333333333333</v>
      </c>
      <c r="V153" s="1">
        <f t="shared" si="54"/>
        <v>6.8286063621823345</v>
      </c>
      <c r="W153" s="1">
        <f t="shared" si="55"/>
        <v>6.770809832050384</v>
      </c>
      <c r="X153" s="1">
        <f t="shared" si="56"/>
        <v>6.7997080971163593</v>
      </c>
      <c r="Y153" s="2">
        <f t="shared" si="57"/>
        <v>6.7693148647658301</v>
      </c>
      <c r="AC153" s="1"/>
      <c r="AD153" s="1"/>
      <c r="AE153" s="1"/>
      <c r="AF153" s="1"/>
      <c r="AG153" s="1"/>
      <c r="AH153" s="1"/>
      <c r="AI153" s="1"/>
      <c r="AJ153" s="1"/>
      <c r="AK153" s="2"/>
    </row>
    <row r="154" spans="1:37" x14ac:dyDescent="0.2">
      <c r="A154">
        <v>174944</v>
      </c>
      <c r="B154" t="s">
        <v>12</v>
      </c>
      <c r="C154" t="s">
        <v>11</v>
      </c>
      <c r="D154">
        <v>0.8</v>
      </c>
      <c r="E154">
        <f>(576+576+579)/3</f>
        <v>577</v>
      </c>
      <c r="P154">
        <v>3</v>
      </c>
      <c r="Q154">
        <f>(4731+4723+4732)/3</f>
        <v>4728.666666666667</v>
      </c>
      <c r="V154" s="1">
        <f t="shared" si="54"/>
        <v>6.6354277590190156</v>
      </c>
      <c r="W154" s="1">
        <f t="shared" si="55"/>
        <v>6.579266270118965</v>
      </c>
      <c r="X154" s="1">
        <f t="shared" si="56"/>
        <v>6.6073470145689903</v>
      </c>
      <c r="Y154" s="2">
        <f t="shared" si="57"/>
        <v>6.5778135948741747</v>
      </c>
      <c r="AC154" s="1"/>
      <c r="AD154" s="1"/>
      <c r="AE154" s="1"/>
      <c r="AF154" s="1"/>
      <c r="AG154" s="1"/>
      <c r="AH154" s="1"/>
      <c r="AI154" s="1"/>
      <c r="AJ154" s="1"/>
      <c r="AK154" s="2"/>
    </row>
    <row r="155" spans="1:37" x14ac:dyDescent="0.2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t="s">
        <v>7</v>
      </c>
      <c r="I155" t="s">
        <v>8</v>
      </c>
      <c r="J155" t="s">
        <v>9</v>
      </c>
      <c r="P155">
        <v>2</v>
      </c>
      <c r="Q155">
        <f>(4522+4517+4516)/3</f>
        <v>4518.333333333333</v>
      </c>
      <c r="V155" s="1">
        <f t="shared" si="54"/>
        <v>6.3402807890527804</v>
      </c>
      <c r="W155" s="1">
        <f t="shared" si="55"/>
        <v>6.2866173897830651</v>
      </c>
      <c r="X155" s="1">
        <f t="shared" si="56"/>
        <v>6.3134490894179223</v>
      </c>
      <c r="Y155" s="2">
        <f t="shared" si="57"/>
        <v>6.2852293302213038</v>
      </c>
      <c r="AC155" s="1"/>
      <c r="AD155" s="1"/>
      <c r="AE155" s="1"/>
      <c r="AF155" s="1"/>
      <c r="AG155" s="1"/>
      <c r="AH155" s="1"/>
      <c r="AI155" s="1"/>
      <c r="AJ155" s="1"/>
      <c r="AK155" s="2"/>
    </row>
    <row r="156" spans="1:37" x14ac:dyDescent="0.2">
      <c r="A156">
        <v>6</v>
      </c>
      <c r="B156" s="1">
        <f>(4618+4638+4612)/3</f>
        <v>4622.666666666667</v>
      </c>
      <c r="C156">
        <f>(1369+1359+1371)/3</f>
        <v>1366.3333333333333</v>
      </c>
      <c r="D156" s="1">
        <f>(1543+1568+1540)/3</f>
        <v>1550.3333333333333</v>
      </c>
      <c r="E156" s="1">
        <f>C156*D154/E154</f>
        <v>1.8943963027151933</v>
      </c>
      <c r="F156" s="1">
        <f>D156*D154/E154</f>
        <v>2.1495089543616408</v>
      </c>
      <c r="G156" s="1">
        <f t="shared" ref="G156:G161" si="58">B156/$C$156*$E$156</f>
        <v>6.4092432120161753</v>
      </c>
      <c r="H156" s="1">
        <f t="shared" ref="H156:H161" si="59">B156/$D$156*$F$156</f>
        <v>6.4092432120161771</v>
      </c>
      <c r="I156" s="1">
        <f t="shared" ref="I156:I161" si="60">(H156+G156)/2</f>
        <v>6.4092432120161762</v>
      </c>
      <c r="J156" s="2">
        <f>4*(F156/2+E156/2)*(PI()/4)^((4*F156/2*E156/2)/(F156/2+E156/2)^2)</f>
        <v>6.3582612920554311</v>
      </c>
      <c r="K156" s="7"/>
      <c r="P156">
        <v>1</v>
      </c>
      <c r="Q156">
        <f>(3825+3844+3847)/3</f>
        <v>3838.6666666666665</v>
      </c>
      <c r="V156" s="1">
        <f t="shared" si="54"/>
        <v>5.3865491380842361</v>
      </c>
      <c r="W156" s="1">
        <f t="shared" si="55"/>
        <v>5.3409580125962206</v>
      </c>
      <c r="X156" s="1">
        <f t="shared" si="56"/>
        <v>5.3637535753402279</v>
      </c>
      <c r="Y156" s="2">
        <f t="shared" si="57"/>
        <v>5.3397787507804155</v>
      </c>
    </row>
    <row r="157" spans="1:37" x14ac:dyDescent="0.2">
      <c r="A157">
        <v>5</v>
      </c>
      <c r="B157">
        <f>(4467+4444+4461)/3</f>
        <v>4457.333333333333</v>
      </c>
      <c r="G157" s="1">
        <f t="shared" si="58"/>
        <v>6.18001155401502</v>
      </c>
      <c r="H157" s="1">
        <f t="shared" si="59"/>
        <v>6.18001155401502</v>
      </c>
      <c r="I157" s="1">
        <f t="shared" si="60"/>
        <v>6.18001155401502</v>
      </c>
      <c r="J157" s="2">
        <f>I157*$H$163</f>
        <v>6.1308530427866472</v>
      </c>
      <c r="K157" s="7"/>
    </row>
    <row r="158" spans="1:37" x14ac:dyDescent="0.2">
      <c r="A158">
        <v>4</v>
      </c>
      <c r="B158">
        <f>(4191+4190+4195)/3</f>
        <v>4192</v>
      </c>
      <c r="G158" s="1">
        <f t="shared" si="58"/>
        <v>5.8121317157712298</v>
      </c>
      <c r="H158" s="1">
        <f t="shared" si="59"/>
        <v>5.8121317157712316</v>
      </c>
      <c r="I158" s="1">
        <f t="shared" si="60"/>
        <v>5.8121317157712307</v>
      </c>
      <c r="J158" s="2">
        <f>I158*$H$163</f>
        <v>5.7658994814601314</v>
      </c>
      <c r="K158" s="7"/>
      <c r="W158" s="3">
        <f>Y149/X149</f>
        <v>0.99553021513329099</v>
      </c>
    </row>
    <row r="159" spans="1:37" x14ac:dyDescent="0.2">
      <c r="A159">
        <v>3</v>
      </c>
      <c r="B159">
        <f>(3908+3921+3930)/3</f>
        <v>3919.6666666666665</v>
      </c>
      <c r="G159" s="1">
        <f t="shared" si="58"/>
        <v>5.4345465049104558</v>
      </c>
      <c r="H159" s="1">
        <f t="shared" si="59"/>
        <v>5.4345465049104575</v>
      </c>
      <c r="I159" s="1">
        <f t="shared" si="60"/>
        <v>5.4345465049104567</v>
      </c>
      <c r="J159" s="2">
        <f>I159*$H$163</f>
        <v>5.3913177482895742</v>
      </c>
      <c r="K159" s="7"/>
    </row>
    <row r="160" spans="1:37" x14ac:dyDescent="0.2">
      <c r="A160">
        <v>2</v>
      </c>
      <c r="B160">
        <f>(3771+3737+3770)/3</f>
        <v>3759.3333333333335</v>
      </c>
      <c r="G160" s="1">
        <f t="shared" si="58"/>
        <v>5.212247255921433</v>
      </c>
      <c r="H160" s="1">
        <f t="shared" si="59"/>
        <v>5.2122472559214339</v>
      </c>
      <c r="I160" s="1">
        <f t="shared" si="60"/>
        <v>5.212247255921433</v>
      </c>
      <c r="J160" s="2">
        <f>I160*$H$163</f>
        <v>5.1707867646236769</v>
      </c>
      <c r="K160" s="7"/>
    </row>
    <row r="161" spans="1:25" x14ac:dyDescent="0.2">
      <c r="A161">
        <v>1</v>
      </c>
      <c r="B161">
        <f>(3161+3159+3158)/3</f>
        <v>3159.3333333333335</v>
      </c>
      <c r="G161" s="1">
        <f t="shared" si="58"/>
        <v>4.380358174465627</v>
      </c>
      <c r="H161" s="1">
        <f t="shared" si="59"/>
        <v>4.380358174465627</v>
      </c>
      <c r="I161" s="1">
        <f t="shared" si="60"/>
        <v>4.380358174465627</v>
      </c>
      <c r="J161" s="2">
        <f>I161*$H$163</f>
        <v>4.3455148922772846</v>
      </c>
      <c r="K161" s="7"/>
      <c r="P161">
        <v>174928</v>
      </c>
      <c r="Q161" t="s">
        <v>12</v>
      </c>
      <c r="R161" t="s">
        <v>11</v>
      </c>
      <c r="S161">
        <v>0.8</v>
      </c>
      <c r="T161">
        <f>(573+576+582)/3</f>
        <v>577</v>
      </c>
    </row>
    <row r="162" spans="1:25" x14ac:dyDescent="0.2">
      <c r="P162" t="s">
        <v>0</v>
      </c>
      <c r="Q162" t="s">
        <v>1</v>
      </c>
      <c r="R162" t="s">
        <v>2</v>
      </c>
      <c r="S162" t="s">
        <v>3</v>
      </c>
      <c r="T162" t="s">
        <v>4</v>
      </c>
      <c r="U162" t="s">
        <v>5</v>
      </c>
      <c r="V162" t="s">
        <v>6</v>
      </c>
      <c r="W162" t="s">
        <v>7</v>
      </c>
      <c r="X162" t="s">
        <v>8</v>
      </c>
      <c r="Y162" t="s">
        <v>9</v>
      </c>
    </row>
    <row r="163" spans="1:25" x14ac:dyDescent="0.2">
      <c r="H163" s="1">
        <f>J156/I156</f>
        <v>0.99204556321639303</v>
      </c>
      <c r="P163">
        <v>3</v>
      </c>
      <c r="Q163" s="1">
        <f>(4605+4605+4639)/3</f>
        <v>4616.333333333333</v>
      </c>
      <c r="R163">
        <f>(1425+1419+1430)/3</f>
        <v>1424.6666666666667</v>
      </c>
      <c r="S163" s="1">
        <f>(1495+1501+1504)/3</f>
        <v>1500</v>
      </c>
      <c r="T163" s="1">
        <f>R163*S161/T161</f>
        <v>1.9752744078567301</v>
      </c>
      <c r="U163" s="1">
        <f>S163*S161/T161</f>
        <v>2.0797227036395149</v>
      </c>
      <c r="V163" s="1">
        <f>Q163/$R$163*$T$163</f>
        <v>6.4004621606008074</v>
      </c>
      <c r="W163" s="1">
        <f>Q163/$S$163*$U$163</f>
        <v>6.4004621606008083</v>
      </c>
      <c r="X163" s="1">
        <f>(W163+V163)/2</f>
        <v>6.4004621606008083</v>
      </c>
      <c r="Y163" s="2">
        <f>4*(U163/2+T163/2)*(PI()/4)^((4*U163/2*T163/2)/(U163/2+T163/2)^2)</f>
        <v>6.3705955071838902</v>
      </c>
    </row>
    <row r="164" spans="1:25" x14ac:dyDescent="0.2">
      <c r="P164">
        <v>2</v>
      </c>
      <c r="Q164">
        <f>(4220+4215+4201)/3</f>
        <v>4212</v>
      </c>
      <c r="V164" s="1">
        <f>Q164/$R$163*$T$163</f>
        <v>5.8398613518197573</v>
      </c>
      <c r="W164" s="1">
        <f>Q164/$S$163*$U$163</f>
        <v>5.8398613518197573</v>
      </c>
      <c r="X164" s="1">
        <f>(W164+V164)/2</f>
        <v>5.8398613518197573</v>
      </c>
      <c r="Y164" s="2">
        <f>X164*$W$167</f>
        <v>5.8126106454455657</v>
      </c>
    </row>
    <row r="165" spans="1:25" x14ac:dyDescent="0.2">
      <c r="P165">
        <v>1</v>
      </c>
      <c r="Q165">
        <f>(3867+3865+3828)/3</f>
        <v>3853.3333333333335</v>
      </c>
      <c r="V165" s="1">
        <f>Q165/$R$163*$T$163</f>
        <v>5.3425765453495089</v>
      </c>
      <c r="W165" s="1">
        <f>Q165/$S$163*$U$163</f>
        <v>5.3425765453495098</v>
      </c>
      <c r="X165" s="1">
        <f>(W165+V165)/2</f>
        <v>5.3425765453495089</v>
      </c>
      <c r="Y165" s="2">
        <f>X165*$W$167</f>
        <v>5.3176463328071177</v>
      </c>
    </row>
    <row r="166" spans="1:25" x14ac:dyDescent="0.2">
      <c r="A166">
        <v>174955</v>
      </c>
      <c r="B166" t="s">
        <v>12</v>
      </c>
      <c r="C166" t="s">
        <v>11</v>
      </c>
      <c r="D166">
        <v>0.8</v>
      </c>
      <c r="E166">
        <f>(576+576+582)/3</f>
        <v>578</v>
      </c>
    </row>
    <row r="167" spans="1:25" x14ac:dyDescent="0.2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  <c r="H167" t="s">
        <v>7</v>
      </c>
      <c r="I167" t="s">
        <v>8</v>
      </c>
      <c r="J167" t="s">
        <v>9</v>
      </c>
      <c r="W167" s="1">
        <f>Y163/X163</f>
        <v>0.9953336723712285</v>
      </c>
    </row>
    <row r="168" spans="1:25" x14ac:dyDescent="0.2">
      <c r="A168">
        <v>7</v>
      </c>
      <c r="B168" s="1">
        <f>(4721+4720+4708)/3</f>
        <v>4716.333333333333</v>
      </c>
      <c r="C168">
        <f>(1382+1386+1387)/3</f>
        <v>1385</v>
      </c>
      <c r="D168" s="1">
        <f>(1599+1600+1596)/3</f>
        <v>1598.3333333333333</v>
      </c>
      <c r="E168" s="1">
        <f>C168*D166/E166</f>
        <v>1.9169550173010381</v>
      </c>
      <c r="F168" s="1">
        <f>D168*D166/E166</f>
        <v>2.2122260668973475</v>
      </c>
      <c r="G168" s="1">
        <f>B168/$C$168*$E$168</f>
        <v>6.5277970011534023</v>
      </c>
      <c r="H168" s="1">
        <f>B168/$D$168*$F$168</f>
        <v>6.5277970011534041</v>
      </c>
      <c r="I168" s="1">
        <f>(H168+G168)/2</f>
        <v>6.5277970011534032</v>
      </c>
      <c r="J168" s="2">
        <f>4*(F168/2+E168/2)*(PI()/4)^((4*F168/2*E168/2)/(F168/2+E168/2)^2)</f>
        <v>6.4941192419822249</v>
      </c>
      <c r="K168" s="7"/>
    </row>
    <row r="169" spans="1:25" x14ac:dyDescent="0.2">
      <c r="A169">
        <v>6</v>
      </c>
      <c r="B169">
        <f>(4590+4585+4597)/3</f>
        <v>4590.666666666667</v>
      </c>
      <c r="G169" s="1">
        <f t="shared" ref="G169:G174" si="61">B169/$C$168*$E$168</f>
        <v>6.3538638985005775</v>
      </c>
      <c r="H169" s="1">
        <f t="shared" ref="H169:H174" si="62">B169/$D$168*$F$168</f>
        <v>6.3538638985005784</v>
      </c>
      <c r="I169" s="1">
        <f t="shared" ref="I169:I174" si="63">(H169+G169)/2</f>
        <v>6.3538638985005775</v>
      </c>
      <c r="J169" s="2">
        <f t="shared" ref="J169:J174" si="64">I169*$H$176</f>
        <v>6.3210834829725924</v>
      </c>
      <c r="K169" s="7"/>
    </row>
    <row r="170" spans="1:25" x14ac:dyDescent="0.2">
      <c r="A170">
        <v>5</v>
      </c>
      <c r="B170">
        <f>(4457+4445+4464)/3</f>
        <v>4455.333333333333</v>
      </c>
      <c r="G170" s="1">
        <f t="shared" si="61"/>
        <v>6.1665513264129173</v>
      </c>
      <c r="H170" s="1">
        <f t="shared" si="62"/>
        <v>6.1665513264129181</v>
      </c>
      <c r="I170" s="1">
        <f t="shared" si="63"/>
        <v>6.1665513264129181</v>
      </c>
      <c r="J170" s="2">
        <f t="shared" si="64"/>
        <v>6.1347372809622174</v>
      </c>
      <c r="K170" s="7"/>
      <c r="P170">
        <v>174959</v>
      </c>
      <c r="Q170" t="s">
        <v>10</v>
      </c>
      <c r="R170" t="s">
        <v>11</v>
      </c>
      <c r="S170">
        <v>0.8</v>
      </c>
      <c r="T170">
        <f>(573+579+582)/3</f>
        <v>578</v>
      </c>
    </row>
    <row r="171" spans="1:25" x14ac:dyDescent="0.2">
      <c r="A171">
        <v>4</v>
      </c>
      <c r="B171">
        <f>(4359+4345+4336)/3</f>
        <v>4346.666666666667</v>
      </c>
      <c r="G171" s="1">
        <f t="shared" si="61"/>
        <v>6.0161476355247983</v>
      </c>
      <c r="H171" s="1">
        <f t="shared" si="62"/>
        <v>6.0161476355247991</v>
      </c>
      <c r="I171" s="1">
        <f t="shared" si="63"/>
        <v>6.0161476355247991</v>
      </c>
      <c r="J171" s="2">
        <f t="shared" si="64"/>
        <v>5.9851095424021636</v>
      </c>
      <c r="K171" s="7"/>
      <c r="P171" t="s">
        <v>0</v>
      </c>
      <c r="Q171" t="s">
        <v>1</v>
      </c>
      <c r="R171" t="s">
        <v>2</v>
      </c>
      <c r="S171" t="s">
        <v>3</v>
      </c>
      <c r="T171" t="s">
        <v>4</v>
      </c>
      <c r="U171" t="s">
        <v>5</v>
      </c>
      <c r="V171" t="s">
        <v>6</v>
      </c>
      <c r="W171" t="s">
        <v>7</v>
      </c>
      <c r="X171" t="s">
        <v>8</v>
      </c>
      <c r="Y171" t="s">
        <v>9</v>
      </c>
    </row>
    <row r="172" spans="1:25" x14ac:dyDescent="0.2">
      <c r="A172">
        <v>3</v>
      </c>
      <c r="B172">
        <f>(4187+4175+4161)/3</f>
        <v>4174.333333333333</v>
      </c>
      <c r="G172" s="1">
        <f t="shared" si="61"/>
        <v>5.7776239907727795</v>
      </c>
      <c r="H172" s="1">
        <f t="shared" si="62"/>
        <v>5.7776239907727804</v>
      </c>
      <c r="I172" s="1">
        <f t="shared" si="63"/>
        <v>5.7776239907727795</v>
      </c>
      <c r="J172" s="2">
        <f t="shared" si="64"/>
        <v>5.7478164723544696</v>
      </c>
      <c r="K172" s="7"/>
      <c r="P172">
        <v>8</v>
      </c>
      <c r="Q172" s="1">
        <f>(5155+5149+5143)/3</f>
        <v>5149</v>
      </c>
      <c r="R172">
        <f>(1493+1480+1491)/3</f>
        <v>1488</v>
      </c>
      <c r="S172" s="1">
        <f>(1759+1773+1761)/3</f>
        <v>1764.3333333333333</v>
      </c>
      <c r="T172" s="1">
        <f>R172*S170/T170</f>
        <v>2.0595155709342561</v>
      </c>
      <c r="U172" s="1">
        <f>S172*S170/T170</f>
        <v>2.4419838523644755</v>
      </c>
      <c r="V172" s="1">
        <f>Q172/$R$172*$T$172</f>
        <v>7.1266435986159173</v>
      </c>
      <c r="W172" s="1">
        <f>Q172/$S$172*$U$172</f>
        <v>7.1266435986159173</v>
      </c>
      <c r="X172" s="1">
        <f>(W172+V172)/2</f>
        <v>7.1266435986159173</v>
      </c>
      <c r="Y172" s="2">
        <f>4*(U172/2+T172/2)*(PI()/4)^((4*U172/2*T172/2)/(U172/2+T172/2)^2)</f>
        <v>7.0832801845593334</v>
      </c>
    </row>
    <row r="173" spans="1:25" x14ac:dyDescent="0.2">
      <c r="A173">
        <v>2</v>
      </c>
      <c r="B173">
        <f>(3869+3879+3876)/3</f>
        <v>3874.6666666666665</v>
      </c>
      <c r="G173" s="1">
        <f t="shared" si="61"/>
        <v>5.362860438292965</v>
      </c>
      <c r="H173" s="1">
        <f t="shared" si="62"/>
        <v>5.3628604382929659</v>
      </c>
      <c r="I173" s="1">
        <f t="shared" si="63"/>
        <v>5.3628604382929659</v>
      </c>
      <c r="J173" s="2">
        <f t="shared" si="64"/>
        <v>5.3351927393315002</v>
      </c>
      <c r="K173" s="7"/>
      <c r="P173">
        <v>7</v>
      </c>
      <c r="Q173">
        <f>(4974+4973+4995)/3</f>
        <v>4980.666666666667</v>
      </c>
      <c r="V173" s="1">
        <f t="shared" ref="V173:V179" si="65">Q173/$R$172*$T$172</f>
        <v>6.8936562860438295</v>
      </c>
      <c r="W173" s="1">
        <f t="shared" ref="W173:W179" si="66">Q173/$S$172*$U$172</f>
        <v>6.8936562860438304</v>
      </c>
      <c r="X173" s="1">
        <f t="shared" ref="X173:X179" si="67">(W173+V173)/2</f>
        <v>6.8936562860438304</v>
      </c>
      <c r="Y173" s="2">
        <f>X173*$W$181</f>
        <v>6.8517105274607086</v>
      </c>
    </row>
    <row r="174" spans="1:25" x14ac:dyDescent="0.2">
      <c r="A174">
        <v>1</v>
      </c>
      <c r="B174">
        <f>(3613+3590+3599)/3</f>
        <v>3600.6666666666665</v>
      </c>
      <c r="G174" s="1">
        <f t="shared" si="61"/>
        <v>4.983621683967705</v>
      </c>
      <c r="H174" s="1">
        <f t="shared" si="62"/>
        <v>4.983621683967705</v>
      </c>
      <c r="I174" s="1">
        <f t="shared" si="63"/>
        <v>4.983621683967705</v>
      </c>
      <c r="J174" s="2">
        <f t="shared" si="64"/>
        <v>4.957910527379461</v>
      </c>
      <c r="K174" s="7"/>
      <c r="P174">
        <v>6</v>
      </c>
      <c r="Q174">
        <f>(4833+4832+4843)/3</f>
        <v>4836</v>
      </c>
      <c r="V174" s="1">
        <f t="shared" si="65"/>
        <v>6.6934256055363326</v>
      </c>
      <c r="W174" s="1">
        <f t="shared" si="66"/>
        <v>6.6934256055363335</v>
      </c>
      <c r="X174" s="1">
        <f t="shared" si="67"/>
        <v>6.6934256055363335</v>
      </c>
      <c r="Y174" s="2">
        <f t="shared" ref="Y174:Y179" si="68">X174*$W$181</f>
        <v>6.652698188488821</v>
      </c>
    </row>
    <row r="175" spans="1:25" x14ac:dyDescent="0.2">
      <c r="P175">
        <v>5</v>
      </c>
      <c r="Q175">
        <f>(4684+4655+4649)/3</f>
        <v>4662.666666666667</v>
      </c>
      <c r="V175" s="1">
        <f t="shared" si="65"/>
        <v>6.4535178777393316</v>
      </c>
      <c r="W175" s="1">
        <f t="shared" si="66"/>
        <v>6.4535178777393316</v>
      </c>
      <c r="X175" s="1">
        <f t="shared" si="67"/>
        <v>6.4535178777393316</v>
      </c>
      <c r="Y175" s="2">
        <f t="shared" si="68"/>
        <v>6.4142502247437019</v>
      </c>
    </row>
    <row r="176" spans="1:25" x14ac:dyDescent="0.2">
      <c r="H176" s="1">
        <f>J168/I168</f>
        <v>0.99484086910710801</v>
      </c>
      <c r="P176">
        <v>4</v>
      </c>
      <c r="Q176">
        <f>(4317+4302+4331)/3</f>
        <v>4316.666666666667</v>
      </c>
      <c r="V176" s="1">
        <f t="shared" si="65"/>
        <v>5.9746251441753175</v>
      </c>
      <c r="W176" s="1">
        <f t="shared" si="66"/>
        <v>5.9746251441753184</v>
      </c>
      <c r="X176" s="1">
        <f t="shared" si="67"/>
        <v>5.9746251441753184</v>
      </c>
      <c r="Y176" s="2">
        <f t="shared" si="68"/>
        <v>5.9382714048063301</v>
      </c>
    </row>
    <row r="177" spans="16:25" x14ac:dyDescent="0.2">
      <c r="P177">
        <v>3</v>
      </c>
      <c r="Q177">
        <f>(3923+3947+3927)/3</f>
        <v>3932.3333333333335</v>
      </c>
      <c r="V177" s="1">
        <f t="shared" si="65"/>
        <v>5.4426758938869666</v>
      </c>
      <c r="W177" s="1">
        <f t="shared" si="66"/>
        <v>5.4426758938869675</v>
      </c>
      <c r="X177" s="1">
        <f t="shared" si="67"/>
        <v>5.4426758938869675</v>
      </c>
      <c r="Y177" s="2">
        <f t="shared" si="68"/>
        <v>5.4095589005791718</v>
      </c>
    </row>
    <row r="178" spans="16:25" x14ac:dyDescent="0.2">
      <c r="P178">
        <v>2</v>
      </c>
      <c r="Q178">
        <f>(3454+3488+3489)/3</f>
        <v>3477</v>
      </c>
      <c r="V178" s="1">
        <f t="shared" si="65"/>
        <v>4.8124567474048447</v>
      </c>
      <c r="W178" s="1">
        <f t="shared" si="66"/>
        <v>4.8124567474048456</v>
      </c>
      <c r="X178" s="1">
        <f t="shared" si="67"/>
        <v>4.8124567474048447</v>
      </c>
      <c r="Y178" s="2">
        <f t="shared" si="68"/>
        <v>4.7831744419718012</v>
      </c>
    </row>
    <row r="179" spans="16:25" x14ac:dyDescent="0.2">
      <c r="P179">
        <v>1</v>
      </c>
      <c r="V179" s="1">
        <f t="shared" si="65"/>
        <v>0</v>
      </c>
      <c r="W179" s="1">
        <f t="shared" si="66"/>
        <v>0</v>
      </c>
      <c r="X179" s="1">
        <f t="shared" si="67"/>
        <v>0</v>
      </c>
      <c r="Y179" s="2">
        <f t="shared" si="68"/>
        <v>0</v>
      </c>
    </row>
    <row r="181" spans="16:25" x14ac:dyDescent="0.2">
      <c r="W181" s="1">
        <f>Y172/X172</f>
        <v>0.99391531041835657</v>
      </c>
    </row>
    <row r="184" spans="16:25" x14ac:dyDescent="0.2">
      <c r="P184">
        <v>174979</v>
      </c>
    </row>
    <row r="185" spans="16:25" x14ac:dyDescent="0.2">
      <c r="P185" t="s">
        <v>0</v>
      </c>
      <c r="Q185" t="s">
        <v>1</v>
      </c>
      <c r="R185" t="s">
        <v>2</v>
      </c>
      <c r="S185" t="s">
        <v>3</v>
      </c>
      <c r="T185" t="s">
        <v>4</v>
      </c>
      <c r="U185" t="s">
        <v>5</v>
      </c>
      <c r="V185" t="s">
        <v>6</v>
      </c>
      <c r="W185" t="s">
        <v>7</v>
      </c>
      <c r="X185" t="s">
        <v>8</v>
      </c>
      <c r="Y185" t="s">
        <v>9</v>
      </c>
    </row>
    <row r="186" spans="16:25" x14ac:dyDescent="0.2">
      <c r="P186">
        <v>6</v>
      </c>
      <c r="Q186">
        <f>(6732+6749+6740)/3</f>
        <v>6740.333333333333</v>
      </c>
      <c r="R186">
        <f>(2088+2100+2089)/3</f>
        <v>2092.3333333333335</v>
      </c>
      <c r="S186">
        <f>(2165+2162+2166)/3</f>
        <v>2164.3333333333335</v>
      </c>
      <c r="T186">
        <v>2.9129999999999998</v>
      </c>
      <c r="U186">
        <v>3.016</v>
      </c>
      <c r="V186" s="1">
        <f t="shared" ref="V186:V191" si="69">Q186/$R$186*$T$186</f>
        <v>9.3840645212681206</v>
      </c>
      <c r="W186" s="1">
        <f t="shared" ref="W186:W191" si="70">Q186/$S$186*$U$186</f>
        <v>9.3926591714153691</v>
      </c>
      <c r="X186" s="1">
        <f t="shared" ref="X186:X191" si="71">(W186+V186)/2</f>
        <v>9.3883618463417449</v>
      </c>
      <c r="Y186" s="2">
        <f>4*(U186/2+T186/2)*(PI()/4)^((4*U186/2*T186/2)/(U186/2+T186/2)^2)</f>
        <v>9.3139304090584805</v>
      </c>
    </row>
    <row r="187" spans="16:25" x14ac:dyDescent="0.2">
      <c r="P187">
        <v>5</v>
      </c>
      <c r="Q187">
        <f>(6439+6468+6465)/3</f>
        <v>6457.333333333333</v>
      </c>
      <c r="V187" s="1">
        <f t="shared" si="69"/>
        <v>8.9900646805798932</v>
      </c>
      <c r="W187" s="1">
        <f t="shared" si="70"/>
        <v>8.9982984752810715</v>
      </c>
      <c r="X187" s="1">
        <f t="shared" si="71"/>
        <v>8.9941815779304832</v>
      </c>
      <c r="Y187" s="2">
        <f>X187*$W$193</f>
        <v>8.9228752229998971</v>
      </c>
    </row>
    <row r="188" spans="16:25" x14ac:dyDescent="0.2">
      <c r="P188">
        <v>4</v>
      </c>
      <c r="Q188">
        <f>(6023+6025+6040)/3</f>
        <v>6029.333333333333</v>
      </c>
      <c r="V188" s="1">
        <f t="shared" si="69"/>
        <v>8.3941921299984052</v>
      </c>
      <c r="W188" s="1">
        <f t="shared" si="70"/>
        <v>8.4018801786539345</v>
      </c>
      <c r="X188" s="1">
        <f t="shared" si="71"/>
        <v>8.3980361543261708</v>
      </c>
      <c r="Y188" s="2">
        <f>X188*$W$193</f>
        <v>8.3314560723529905</v>
      </c>
    </row>
    <row r="189" spans="16:25" x14ac:dyDescent="0.2">
      <c r="P189">
        <v>3</v>
      </c>
      <c r="Q189">
        <f>(5572+5568+5581)/3</f>
        <v>5573.666666666667</v>
      </c>
      <c r="V189" s="1">
        <f t="shared" si="69"/>
        <v>7.7598013382188933</v>
      </c>
      <c r="W189" s="1">
        <f t="shared" si="70"/>
        <v>7.7669083628523028</v>
      </c>
      <c r="X189" s="1">
        <f t="shared" si="71"/>
        <v>7.763354850535598</v>
      </c>
      <c r="Y189" s="2">
        <f>X189*$W$193</f>
        <v>7.7018065560490019</v>
      </c>
    </row>
    <row r="190" spans="16:25" x14ac:dyDescent="0.2">
      <c r="P190">
        <v>2</v>
      </c>
      <c r="Q190">
        <f>(5329+5316+5365)/3</f>
        <v>5336.666666666667</v>
      </c>
      <c r="V190" s="1">
        <f t="shared" si="69"/>
        <v>7.429843874462323</v>
      </c>
      <c r="W190" s="1">
        <f t="shared" si="70"/>
        <v>7.4366486985984901</v>
      </c>
      <c r="X190" s="1">
        <f t="shared" si="71"/>
        <v>7.433246286530407</v>
      </c>
      <c r="Y190" s="2">
        <f>X190*$W$193</f>
        <v>7.3743151104805049</v>
      </c>
    </row>
    <row r="191" spans="16:25" x14ac:dyDescent="0.2">
      <c r="P191">
        <v>1</v>
      </c>
      <c r="Q191">
        <f>(4977+4997+5037)/3</f>
        <v>5003.666666666667</v>
      </c>
      <c r="V191" s="1">
        <f t="shared" si="69"/>
        <v>6.9662327545005569</v>
      </c>
      <c r="W191" s="1">
        <f t="shared" si="70"/>
        <v>6.9726129678114885</v>
      </c>
      <c r="X191" s="1">
        <f t="shared" si="71"/>
        <v>6.9694228611560227</v>
      </c>
      <c r="Y191" s="2">
        <f>X191*$W$193</f>
        <v>6.9141689021500845</v>
      </c>
    </row>
    <row r="193" spans="16:25" x14ac:dyDescent="0.2">
      <c r="W193" s="1">
        <f>Y186/X186</f>
        <v>0.99207194625628248</v>
      </c>
    </row>
    <row r="196" spans="16:25" x14ac:dyDescent="0.2">
      <c r="P196">
        <v>231585</v>
      </c>
    </row>
    <row r="197" spans="16:25" x14ac:dyDescent="0.2">
      <c r="P197" t="s">
        <v>0</v>
      </c>
      <c r="Q197" t="s">
        <v>1</v>
      </c>
      <c r="R197" t="s">
        <v>2</v>
      </c>
      <c r="S197" t="s">
        <v>3</v>
      </c>
      <c r="T197" t="s">
        <v>4</v>
      </c>
      <c r="U197" t="s">
        <v>5</v>
      </c>
      <c r="V197" t="s">
        <v>6</v>
      </c>
      <c r="W197" t="s">
        <v>7</v>
      </c>
      <c r="X197" t="s">
        <v>8</v>
      </c>
      <c r="Y197" t="s">
        <v>9</v>
      </c>
    </row>
    <row r="198" spans="16:25" x14ac:dyDescent="0.2">
      <c r="P198">
        <v>8</v>
      </c>
      <c r="Q198">
        <f>(7633+7651+7634)/3</f>
        <v>7639.333333333333</v>
      </c>
      <c r="R198">
        <f>(2364+2369+2355)/3</f>
        <v>2362.6666666666665</v>
      </c>
      <c r="S198">
        <f>(2459+2462+2467)/3</f>
        <v>2462.6666666666665</v>
      </c>
      <c r="T198">
        <v>3.22</v>
      </c>
      <c r="U198">
        <v>3.4049999999999998</v>
      </c>
      <c r="V198" s="1">
        <f>Q198/$R$198*$T$198</f>
        <v>10.411393905191876</v>
      </c>
      <c r="W198" s="1">
        <f>Q198/$S$198*$U$198</f>
        <v>10.562505414185164</v>
      </c>
      <c r="X198" s="1">
        <f>(W198+V198)/2</f>
        <v>10.48694965968852</v>
      </c>
      <c r="Y198" s="2">
        <f>4*(U198/2+T198/2)*(PI()/4)^((4*U198/2*T198/2)/(U198/2+T198/2)^2)</f>
        <v>10.408486095387582</v>
      </c>
    </row>
    <row r="199" spans="16:25" x14ac:dyDescent="0.2">
      <c r="P199">
        <v>7</v>
      </c>
      <c r="Q199">
        <f>(7369+7391+7373)/3</f>
        <v>7377.666666666667</v>
      </c>
      <c r="V199" s="1">
        <f t="shared" ref="V199:V205" si="72">Q199/$R$198*$T$198</f>
        <v>10.054777088036118</v>
      </c>
      <c r="W199" s="1">
        <f t="shared" ref="W199:W205" si="73">Q199/$S$198*$U$198</f>
        <v>10.200712642122362</v>
      </c>
      <c r="X199" s="1">
        <f t="shared" ref="X199:X205" si="74">(W199+V199)/2</f>
        <v>10.12774486507924</v>
      </c>
      <c r="Y199" s="2">
        <f>X199*$W$207</f>
        <v>10.051968878140038</v>
      </c>
    </row>
    <row r="200" spans="16:25" x14ac:dyDescent="0.2">
      <c r="P200">
        <v>6</v>
      </c>
      <c r="Q200">
        <f>(7010+6970+7001)/3</f>
        <v>6993.666666666667</v>
      </c>
      <c r="V200" s="1">
        <f t="shared" si="72"/>
        <v>9.5314362302483087</v>
      </c>
      <c r="W200" s="1">
        <f t="shared" si="73"/>
        <v>9.6697759880887943</v>
      </c>
      <c r="X200" s="1">
        <f t="shared" si="74"/>
        <v>9.6006061091685524</v>
      </c>
      <c r="Y200" s="2">
        <f t="shared" ref="Y200:Y205" si="75">X200*$W$207</f>
        <v>9.5287741848035132</v>
      </c>
    </row>
    <row r="201" spans="16:25" x14ac:dyDescent="0.2">
      <c r="P201">
        <v>5</v>
      </c>
      <c r="Q201">
        <f>(6582+6661+6620)/3</f>
        <v>6621</v>
      </c>
      <c r="V201" s="1">
        <f t="shared" si="72"/>
        <v>9.0235411963882619</v>
      </c>
      <c r="W201" s="1">
        <f t="shared" si="73"/>
        <v>9.1545093394694099</v>
      </c>
      <c r="X201" s="1">
        <f t="shared" si="74"/>
        <v>9.0890252679288359</v>
      </c>
      <c r="Y201" s="2">
        <f t="shared" si="75"/>
        <v>9.0210210015133754</v>
      </c>
    </row>
    <row r="202" spans="16:25" x14ac:dyDescent="0.2">
      <c r="P202">
        <v>4</v>
      </c>
      <c r="Q202">
        <f>(6116+6157+6134)/3</f>
        <v>6135.666666666667</v>
      </c>
      <c r="V202" s="1">
        <f t="shared" si="72"/>
        <v>8.3620965011286685</v>
      </c>
      <c r="W202" s="1">
        <f t="shared" si="73"/>
        <v>8.4834644017325402</v>
      </c>
      <c r="X202" s="1">
        <f t="shared" si="74"/>
        <v>8.4227804514306044</v>
      </c>
      <c r="Y202" s="2">
        <f t="shared" si="75"/>
        <v>8.359761041879711</v>
      </c>
    </row>
    <row r="203" spans="16:25" x14ac:dyDescent="0.2">
      <c r="P203">
        <v>3</v>
      </c>
      <c r="Q203">
        <f>(5830+5817+5853)/3</f>
        <v>5833.333333333333</v>
      </c>
      <c r="V203" s="1">
        <f t="shared" si="72"/>
        <v>7.9500564334085784</v>
      </c>
      <c r="W203" s="1">
        <f t="shared" si="73"/>
        <v>8.0654439631835402</v>
      </c>
      <c r="X203" s="1">
        <f t="shared" si="74"/>
        <v>8.0077501982960584</v>
      </c>
      <c r="Y203" s="2">
        <f t="shared" si="75"/>
        <v>7.9478360532892331</v>
      </c>
    </row>
    <row r="204" spans="16:25" x14ac:dyDescent="0.2">
      <c r="P204">
        <v>2</v>
      </c>
      <c r="Q204">
        <f>(5719+5684+5664)/3</f>
        <v>5689</v>
      </c>
      <c r="V204" s="1">
        <f t="shared" si="72"/>
        <v>7.7533493227990977</v>
      </c>
      <c r="W204" s="1">
        <f t="shared" si="73"/>
        <v>7.8658818354087705</v>
      </c>
      <c r="X204" s="1">
        <f t="shared" si="74"/>
        <v>7.8096155791039337</v>
      </c>
      <c r="Y204" s="2">
        <f t="shared" si="75"/>
        <v>7.7511838812278491</v>
      </c>
    </row>
    <row r="205" spans="16:25" x14ac:dyDescent="0.2">
      <c r="P205">
        <v>1</v>
      </c>
      <c r="Q205">
        <f>(5071+5055+5045)/3</f>
        <v>5057</v>
      </c>
      <c r="V205" s="1">
        <f t="shared" si="72"/>
        <v>6.8920174943566606</v>
      </c>
      <c r="W205" s="1">
        <f t="shared" si="73"/>
        <v>6.9920485923118578</v>
      </c>
      <c r="X205" s="1">
        <f t="shared" si="74"/>
        <v>6.9420330433342592</v>
      </c>
      <c r="Y205" s="2">
        <f t="shared" si="75"/>
        <v>6.8900926151114854</v>
      </c>
    </row>
    <row r="207" spans="16:25" x14ac:dyDescent="0.2">
      <c r="W207" s="1">
        <f>Y198/X198</f>
        <v>0.99251798026622085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opLeftCell="A31" workbookViewId="0">
      <selection activeCell="A55" sqref="A55"/>
    </sheetView>
  </sheetViews>
  <sheetFormatPr baseColWidth="10" defaultRowHeight="15" x14ac:dyDescent="0.2"/>
  <sheetData>
    <row r="1" spans="1:11" x14ac:dyDescent="0.2">
      <c r="A1" s="6" t="s">
        <v>13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/>
      <c r="K1" s="6"/>
    </row>
    <row r="2" spans="1:11" x14ac:dyDescent="0.2">
      <c r="A2">
        <v>174529</v>
      </c>
      <c r="B2" t="s">
        <v>12</v>
      </c>
      <c r="C2">
        <v>188</v>
      </c>
      <c r="D2">
        <v>8.57</v>
      </c>
      <c r="E2">
        <v>7</v>
      </c>
      <c r="F2" t="s">
        <v>28</v>
      </c>
    </row>
    <row r="3" spans="1:11" x14ac:dyDescent="0.2">
      <c r="A3">
        <v>174542</v>
      </c>
      <c r="B3" t="s">
        <v>12</v>
      </c>
      <c r="C3">
        <v>163</v>
      </c>
      <c r="D3">
        <v>7.87</v>
      </c>
      <c r="E3">
        <v>8</v>
      </c>
      <c r="F3" t="s">
        <v>29</v>
      </c>
    </row>
    <row r="4" spans="1:11" x14ac:dyDescent="0.2">
      <c r="A4">
        <v>174581</v>
      </c>
      <c r="B4" t="s">
        <v>12</v>
      </c>
      <c r="C4">
        <v>156</v>
      </c>
      <c r="D4">
        <v>7.32</v>
      </c>
      <c r="E4">
        <v>8</v>
      </c>
      <c r="F4" t="s">
        <v>28</v>
      </c>
    </row>
    <row r="5" spans="1:11" x14ac:dyDescent="0.2">
      <c r="A5">
        <v>174618</v>
      </c>
      <c r="B5" t="s">
        <v>12</v>
      </c>
      <c r="C5" s="5">
        <v>159</v>
      </c>
      <c r="D5">
        <v>7.47</v>
      </c>
      <c r="E5">
        <v>6</v>
      </c>
      <c r="F5" t="s">
        <v>29</v>
      </c>
    </row>
    <row r="6" spans="1:11" x14ac:dyDescent="0.2">
      <c r="A6">
        <v>174792</v>
      </c>
      <c r="B6" t="s">
        <v>12</v>
      </c>
      <c r="C6">
        <v>175</v>
      </c>
      <c r="D6">
        <v>8.17</v>
      </c>
      <c r="E6">
        <v>7</v>
      </c>
      <c r="F6" t="s">
        <v>28</v>
      </c>
    </row>
    <row r="7" spans="1:11" x14ac:dyDescent="0.2">
      <c r="A7">
        <v>174821</v>
      </c>
      <c r="B7" t="s">
        <v>12</v>
      </c>
      <c r="C7" s="5">
        <v>149</v>
      </c>
      <c r="D7">
        <v>6.82</v>
      </c>
      <c r="E7">
        <v>7</v>
      </c>
      <c r="F7" t="s">
        <v>29</v>
      </c>
    </row>
    <row r="8" spans="1:11" x14ac:dyDescent="0.2">
      <c r="A8">
        <v>174880</v>
      </c>
      <c r="B8" t="s">
        <v>12</v>
      </c>
      <c r="C8" s="5">
        <v>150</v>
      </c>
      <c r="D8">
        <v>7.39</v>
      </c>
      <c r="E8">
        <v>6</v>
      </c>
      <c r="F8" t="s">
        <v>29</v>
      </c>
    </row>
    <row r="9" spans="1:11" x14ac:dyDescent="0.2">
      <c r="A9">
        <v>174901</v>
      </c>
      <c r="B9" t="s">
        <v>12</v>
      </c>
      <c r="C9">
        <v>165</v>
      </c>
      <c r="D9">
        <v>6.92</v>
      </c>
      <c r="E9">
        <v>5</v>
      </c>
      <c r="F9" t="s">
        <v>29</v>
      </c>
    </row>
    <row r="10" spans="1:11" x14ac:dyDescent="0.2">
      <c r="A10">
        <v>174905</v>
      </c>
      <c r="B10" t="s">
        <v>12</v>
      </c>
      <c r="C10" s="5">
        <v>150</v>
      </c>
      <c r="D10">
        <v>6.69</v>
      </c>
      <c r="E10">
        <v>9</v>
      </c>
      <c r="F10" t="s">
        <v>29</v>
      </c>
    </row>
    <row r="11" spans="1:11" x14ac:dyDescent="0.2">
      <c r="A11">
        <v>174912</v>
      </c>
      <c r="B11" t="s">
        <v>12</v>
      </c>
      <c r="C11" s="5">
        <v>157</v>
      </c>
      <c r="D11">
        <v>7.6</v>
      </c>
      <c r="E11">
        <v>5</v>
      </c>
      <c r="F11" t="s">
        <v>29</v>
      </c>
    </row>
    <row r="12" spans="1:11" x14ac:dyDescent="0.2">
      <c r="A12">
        <v>174927</v>
      </c>
      <c r="B12" t="s">
        <v>12</v>
      </c>
      <c r="C12">
        <v>165</v>
      </c>
      <c r="D12">
        <v>7</v>
      </c>
      <c r="E12">
        <v>7</v>
      </c>
      <c r="F12" t="s">
        <v>29</v>
      </c>
    </row>
    <row r="13" spans="1:11" x14ac:dyDescent="0.2">
      <c r="A13">
        <v>174932</v>
      </c>
      <c r="B13" t="s">
        <v>12</v>
      </c>
      <c r="C13">
        <v>161</v>
      </c>
      <c r="D13">
        <v>8.66</v>
      </c>
      <c r="E13">
        <v>6</v>
      </c>
      <c r="F13" t="s">
        <v>28</v>
      </c>
    </row>
    <row r="14" spans="1:11" x14ac:dyDescent="0.2">
      <c r="A14">
        <v>174944</v>
      </c>
      <c r="B14" t="s">
        <v>12</v>
      </c>
      <c r="C14" s="5">
        <v>142</v>
      </c>
      <c r="D14">
        <v>6.36</v>
      </c>
      <c r="E14">
        <v>6</v>
      </c>
      <c r="F14" t="s">
        <v>29</v>
      </c>
    </row>
    <row r="15" spans="1:11" x14ac:dyDescent="0.2">
      <c r="A15">
        <v>174955</v>
      </c>
      <c r="B15" t="s">
        <v>12</v>
      </c>
      <c r="C15" s="5">
        <v>136</v>
      </c>
      <c r="D15">
        <v>6.49</v>
      </c>
      <c r="E15">
        <v>7</v>
      </c>
      <c r="F15" t="s">
        <v>29</v>
      </c>
    </row>
    <row r="16" spans="1:11" x14ac:dyDescent="0.2">
      <c r="A16">
        <v>13407</v>
      </c>
      <c r="B16" t="s">
        <v>10</v>
      </c>
      <c r="C16">
        <v>195</v>
      </c>
      <c r="D16">
        <v>9.49</v>
      </c>
      <c r="E16">
        <v>7</v>
      </c>
      <c r="F16" t="s">
        <v>28</v>
      </c>
    </row>
    <row r="17" spans="1:6" x14ac:dyDescent="0.2">
      <c r="A17">
        <v>19460</v>
      </c>
      <c r="B17" t="s">
        <v>10</v>
      </c>
      <c r="C17">
        <v>189</v>
      </c>
      <c r="D17">
        <v>9.9</v>
      </c>
      <c r="E17">
        <v>7</v>
      </c>
      <c r="F17" t="s">
        <v>28</v>
      </c>
    </row>
    <row r="18" spans="1:6" x14ac:dyDescent="0.2">
      <c r="A18">
        <v>174552</v>
      </c>
      <c r="B18" t="s">
        <v>10</v>
      </c>
      <c r="C18" s="5">
        <v>164</v>
      </c>
      <c r="D18">
        <v>8.17</v>
      </c>
      <c r="E18">
        <v>7</v>
      </c>
      <c r="F18" t="s">
        <v>28</v>
      </c>
    </row>
    <row r="19" spans="1:6" x14ac:dyDescent="0.2">
      <c r="A19">
        <v>174632</v>
      </c>
      <c r="B19" t="s">
        <v>10</v>
      </c>
      <c r="C19" s="5">
        <v>145</v>
      </c>
      <c r="D19">
        <v>7.28</v>
      </c>
      <c r="E19">
        <v>5</v>
      </c>
      <c r="F19" t="s">
        <v>28</v>
      </c>
    </row>
    <row r="20" spans="1:6" x14ac:dyDescent="0.2">
      <c r="A20">
        <v>174679</v>
      </c>
      <c r="B20" t="s">
        <v>10</v>
      </c>
      <c r="C20">
        <v>180</v>
      </c>
      <c r="D20">
        <v>8.3800000000000008</v>
      </c>
      <c r="E20">
        <v>5</v>
      </c>
      <c r="F20" t="s">
        <v>29</v>
      </c>
    </row>
    <row r="21" spans="1:6" x14ac:dyDescent="0.2">
      <c r="A21">
        <v>174682</v>
      </c>
      <c r="B21" t="s">
        <v>10</v>
      </c>
      <c r="C21">
        <v>180</v>
      </c>
      <c r="D21">
        <v>9.61</v>
      </c>
      <c r="E21">
        <v>8</v>
      </c>
      <c r="F21" t="s">
        <v>28</v>
      </c>
    </row>
    <row r="22" spans="1:6" x14ac:dyDescent="0.2">
      <c r="A22">
        <v>174714</v>
      </c>
      <c r="B22" t="s">
        <v>10</v>
      </c>
      <c r="C22" s="5">
        <v>138</v>
      </c>
      <c r="D22">
        <v>7.16</v>
      </c>
      <c r="E22">
        <v>6</v>
      </c>
      <c r="F22" t="s">
        <v>28</v>
      </c>
    </row>
    <row r="23" spans="1:6" x14ac:dyDescent="0.2">
      <c r="A23">
        <v>174760</v>
      </c>
      <c r="B23" t="s">
        <v>10</v>
      </c>
      <c r="C23" s="5">
        <v>176</v>
      </c>
      <c r="D23">
        <v>8.8000000000000007</v>
      </c>
      <c r="E23">
        <v>6</v>
      </c>
      <c r="F23" t="s">
        <v>28</v>
      </c>
    </row>
    <row r="24" spans="1:6" x14ac:dyDescent="0.2">
      <c r="A24">
        <v>174774</v>
      </c>
      <c r="B24" t="s">
        <v>10</v>
      </c>
      <c r="C24">
        <v>164</v>
      </c>
      <c r="D24">
        <v>7.67</v>
      </c>
      <c r="E24">
        <v>5</v>
      </c>
      <c r="F24" t="s">
        <v>29</v>
      </c>
    </row>
    <row r="25" spans="1:6" x14ac:dyDescent="0.2">
      <c r="A25">
        <v>174781</v>
      </c>
      <c r="B25" t="s">
        <v>10</v>
      </c>
      <c r="C25" s="5">
        <v>162</v>
      </c>
      <c r="D25">
        <v>7.54</v>
      </c>
      <c r="E25">
        <v>7</v>
      </c>
      <c r="F25" t="s">
        <v>29</v>
      </c>
    </row>
    <row r="26" spans="1:6" x14ac:dyDescent="0.2">
      <c r="A26">
        <v>174844</v>
      </c>
      <c r="B26" t="s">
        <v>10</v>
      </c>
      <c r="C26" s="5">
        <v>148</v>
      </c>
      <c r="D26">
        <v>7.26</v>
      </c>
      <c r="E26">
        <v>9</v>
      </c>
      <c r="F26" t="s">
        <v>29</v>
      </c>
    </row>
    <row r="27" spans="1:6" x14ac:dyDescent="0.2">
      <c r="A27">
        <v>174898</v>
      </c>
      <c r="B27" t="s">
        <v>10</v>
      </c>
      <c r="C27" s="5">
        <v>146</v>
      </c>
      <c r="D27">
        <v>6.82</v>
      </c>
      <c r="E27">
        <v>5</v>
      </c>
      <c r="F27" t="s">
        <v>29</v>
      </c>
    </row>
    <row r="28" spans="1:6" x14ac:dyDescent="0.2">
      <c r="A28">
        <v>174906</v>
      </c>
      <c r="B28" t="s">
        <v>10</v>
      </c>
      <c r="C28">
        <v>171</v>
      </c>
      <c r="D28">
        <v>8.3000000000000007</v>
      </c>
      <c r="E28">
        <v>8</v>
      </c>
      <c r="F28" t="s">
        <v>29</v>
      </c>
    </row>
    <row r="29" spans="1:6" x14ac:dyDescent="0.2">
      <c r="A29">
        <v>174928</v>
      </c>
      <c r="B29" t="s">
        <v>10</v>
      </c>
      <c r="C29" s="5">
        <v>131</v>
      </c>
      <c r="D29">
        <v>6.37</v>
      </c>
      <c r="E29">
        <v>3</v>
      </c>
      <c r="F29" t="s">
        <v>29</v>
      </c>
    </row>
    <row r="30" spans="1:6" x14ac:dyDescent="0.2">
      <c r="A30">
        <v>174959</v>
      </c>
      <c r="B30" t="s">
        <v>10</v>
      </c>
      <c r="C30" s="5">
        <v>154</v>
      </c>
      <c r="D30">
        <v>7.08</v>
      </c>
      <c r="E30">
        <v>8</v>
      </c>
      <c r="F30" t="s">
        <v>29</v>
      </c>
    </row>
    <row r="31" spans="1:6" x14ac:dyDescent="0.2">
      <c r="A31">
        <v>174979</v>
      </c>
      <c r="B31" t="s">
        <v>10</v>
      </c>
      <c r="C31">
        <v>192</v>
      </c>
      <c r="D31">
        <v>9.31</v>
      </c>
      <c r="E31">
        <v>7</v>
      </c>
      <c r="F31" t="s">
        <v>28</v>
      </c>
    </row>
    <row r="32" spans="1:6" x14ac:dyDescent="0.2">
      <c r="A32">
        <v>231585</v>
      </c>
      <c r="B32" t="s">
        <v>10</v>
      </c>
      <c r="C32">
        <v>226</v>
      </c>
      <c r="D32">
        <v>10.41</v>
      </c>
      <c r="E32">
        <v>9</v>
      </c>
      <c r="F32" t="s">
        <v>28</v>
      </c>
    </row>
    <row r="34" spans="1:11" x14ac:dyDescent="0.2">
      <c r="B34" s="6" t="s">
        <v>31</v>
      </c>
      <c r="C34" s="6" t="s">
        <v>32</v>
      </c>
    </row>
    <row r="35" spans="1:11" x14ac:dyDescent="0.2">
      <c r="A35" s="6" t="s">
        <v>30</v>
      </c>
      <c r="B35">
        <v>4.82E-2</v>
      </c>
      <c r="C35">
        <v>-5.3699999999999998E-2</v>
      </c>
    </row>
    <row r="37" spans="1:11" x14ac:dyDescent="0.2">
      <c r="A37" s="6" t="s">
        <v>27</v>
      </c>
      <c r="K37" s="1"/>
    </row>
    <row r="38" spans="1:11" x14ac:dyDescent="0.2">
      <c r="C38" s="6" t="s">
        <v>15</v>
      </c>
      <c r="D38" s="6" t="s">
        <v>33</v>
      </c>
      <c r="E38" s="6"/>
      <c r="F38" s="6" t="s">
        <v>40</v>
      </c>
      <c r="K38" s="1"/>
    </row>
    <row r="39" spans="1:11" x14ac:dyDescent="0.2">
      <c r="A39" t="s">
        <v>20</v>
      </c>
      <c r="C39">
        <v>60</v>
      </c>
      <c r="D39" s="1">
        <f t="shared" ref="D39:D55" si="0">C39*$B$35+$C$35</f>
        <v>2.8382999999999998</v>
      </c>
      <c r="F39" s="1" t="s">
        <v>42</v>
      </c>
      <c r="G39" s="1"/>
      <c r="K39" s="1"/>
    </row>
    <row r="40" spans="1:11" x14ac:dyDescent="0.2">
      <c r="A40" t="s">
        <v>19</v>
      </c>
      <c r="C40">
        <v>45</v>
      </c>
      <c r="D40" s="1">
        <f t="shared" si="0"/>
        <v>2.1153</v>
      </c>
      <c r="F40" s="1" t="s">
        <v>45</v>
      </c>
      <c r="G40" s="1"/>
      <c r="K40" s="1"/>
    </row>
    <row r="41" spans="1:11" x14ac:dyDescent="0.2">
      <c r="A41" t="s">
        <v>19</v>
      </c>
      <c r="C41">
        <v>46</v>
      </c>
      <c r="D41" s="1">
        <f t="shared" si="0"/>
        <v>2.1635</v>
      </c>
      <c r="F41" s="1" t="s">
        <v>41</v>
      </c>
      <c r="G41" s="1"/>
      <c r="K41" s="1"/>
    </row>
    <row r="42" spans="1:11" x14ac:dyDescent="0.2">
      <c r="A42" t="s">
        <v>44</v>
      </c>
      <c r="C42">
        <v>99</v>
      </c>
      <c r="D42" s="1">
        <f t="shared" si="0"/>
        <v>4.7180999999999997</v>
      </c>
      <c r="F42" s="1" t="s">
        <v>41</v>
      </c>
      <c r="G42" s="1"/>
      <c r="K42" s="1"/>
    </row>
    <row r="43" spans="1:11" x14ac:dyDescent="0.2">
      <c r="A43" t="s">
        <v>35</v>
      </c>
      <c r="C43">
        <v>90</v>
      </c>
      <c r="D43" s="1">
        <f t="shared" si="0"/>
        <v>4.2843</v>
      </c>
      <c r="F43" s="1" t="s">
        <v>43</v>
      </c>
      <c r="G43" s="1"/>
      <c r="K43" s="1"/>
    </row>
    <row r="44" spans="1:11" x14ac:dyDescent="0.2">
      <c r="A44" t="s">
        <v>36</v>
      </c>
      <c r="C44">
        <v>120</v>
      </c>
      <c r="D44" s="1">
        <f t="shared" si="0"/>
        <v>5.7302999999999997</v>
      </c>
      <c r="F44" s="1" t="s">
        <v>43</v>
      </c>
      <c r="G44" s="1"/>
      <c r="K44" s="1"/>
    </row>
    <row r="45" spans="1:11" x14ac:dyDescent="0.2">
      <c r="A45" t="s">
        <v>37</v>
      </c>
      <c r="C45">
        <v>125</v>
      </c>
      <c r="D45" s="1">
        <f t="shared" si="0"/>
        <v>5.9713000000000003</v>
      </c>
      <c r="F45" s="1" t="s">
        <v>43</v>
      </c>
      <c r="G45" s="1"/>
      <c r="K45" s="1"/>
    </row>
    <row r="46" spans="1:11" x14ac:dyDescent="0.2">
      <c r="A46" t="s">
        <v>38</v>
      </c>
      <c r="C46">
        <v>150</v>
      </c>
      <c r="D46" s="1">
        <f t="shared" si="0"/>
        <v>7.1762999999999995</v>
      </c>
      <c r="F46" s="1" t="s">
        <v>43</v>
      </c>
      <c r="G46" s="1"/>
      <c r="K46" s="1"/>
    </row>
    <row r="47" spans="1:11" x14ac:dyDescent="0.2">
      <c r="A47" t="s">
        <v>47</v>
      </c>
      <c r="C47">
        <v>135</v>
      </c>
      <c r="D47" s="1">
        <f t="shared" si="0"/>
        <v>6.4532999999999996</v>
      </c>
      <c r="F47" s="1" t="s">
        <v>46</v>
      </c>
      <c r="G47" s="1"/>
    </row>
    <row r="48" spans="1:11" x14ac:dyDescent="0.2">
      <c r="A48" t="s">
        <v>47</v>
      </c>
      <c r="C48">
        <v>125</v>
      </c>
      <c r="D48" s="1">
        <f t="shared" si="0"/>
        <v>5.9713000000000003</v>
      </c>
      <c r="F48" s="1" t="s">
        <v>48</v>
      </c>
      <c r="G48" s="1"/>
      <c r="K48" s="1"/>
    </row>
    <row r="49" spans="1:11" x14ac:dyDescent="0.2">
      <c r="A49" t="s">
        <v>34</v>
      </c>
      <c r="C49">
        <v>140</v>
      </c>
      <c r="D49" s="1">
        <f t="shared" si="0"/>
        <v>6.6943000000000001</v>
      </c>
      <c r="F49" s="1" t="s">
        <v>43</v>
      </c>
      <c r="G49" s="1"/>
      <c r="K49" s="1"/>
    </row>
    <row r="50" spans="1:11" x14ac:dyDescent="0.2">
      <c r="A50" t="s">
        <v>39</v>
      </c>
      <c r="C50">
        <v>125</v>
      </c>
      <c r="D50" s="1">
        <f t="shared" si="0"/>
        <v>5.9713000000000003</v>
      </c>
      <c r="F50" s="1" t="s">
        <v>48</v>
      </c>
      <c r="G50" s="1"/>
      <c r="K50" s="1"/>
    </row>
    <row r="51" spans="1:11" x14ac:dyDescent="0.2">
      <c r="A51" t="s">
        <v>34</v>
      </c>
      <c r="C51">
        <v>135</v>
      </c>
      <c r="D51" s="1">
        <f t="shared" si="0"/>
        <v>6.4532999999999996</v>
      </c>
      <c r="F51" s="1" t="s">
        <v>46</v>
      </c>
      <c r="G51" s="1"/>
      <c r="K51" s="1"/>
    </row>
    <row r="52" spans="1:11" x14ac:dyDescent="0.2">
      <c r="A52" t="s">
        <v>24</v>
      </c>
      <c r="C52">
        <v>136</v>
      </c>
      <c r="D52" s="1">
        <f t="shared" si="0"/>
        <v>6.5015000000000001</v>
      </c>
      <c r="F52" s="1" t="s">
        <v>49</v>
      </c>
      <c r="G52" s="1"/>
      <c r="K52" s="1"/>
    </row>
    <row r="53" spans="1:11" x14ac:dyDescent="0.2">
      <c r="A53" t="s">
        <v>22</v>
      </c>
      <c r="C53">
        <v>154</v>
      </c>
      <c r="D53" s="1">
        <f t="shared" si="0"/>
        <v>7.3690999999999995</v>
      </c>
      <c r="F53" s="1" t="s">
        <v>50</v>
      </c>
      <c r="G53" s="1"/>
      <c r="K53" s="1"/>
    </row>
    <row r="54" spans="1:11" x14ac:dyDescent="0.2">
      <c r="A54" t="s">
        <v>23</v>
      </c>
      <c r="C54">
        <v>164</v>
      </c>
      <c r="D54" s="1">
        <f t="shared" si="0"/>
        <v>7.8510999999999997</v>
      </c>
      <c r="F54" s="1" t="s">
        <v>50</v>
      </c>
      <c r="G54" s="1"/>
      <c r="K54" s="1"/>
    </row>
    <row r="55" spans="1:11" x14ac:dyDescent="0.2">
      <c r="A55" t="s">
        <v>21</v>
      </c>
      <c r="C55">
        <v>200</v>
      </c>
      <c r="D55" s="1">
        <f t="shared" si="0"/>
        <v>9.5863000000000014</v>
      </c>
      <c r="F55" s="1" t="s">
        <v>41</v>
      </c>
      <c r="G55" s="1"/>
    </row>
    <row r="56" spans="1:11" x14ac:dyDescent="0.2">
      <c r="G56" s="1"/>
    </row>
    <row r="57" spans="1:11" x14ac:dyDescent="0.2">
      <c r="D57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LAG measurements</vt:lpstr>
      <vt:lpstr>Overview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Microsoft Office User</cp:lastModifiedBy>
  <dcterms:created xsi:type="dcterms:W3CDTF">2019-04-04T16:51:20Z</dcterms:created>
  <dcterms:modified xsi:type="dcterms:W3CDTF">2019-12-23T16:01:53Z</dcterms:modified>
</cp:coreProperties>
</file>